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1.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ttps://neprom-my.sharepoint.com/personal/m_vanschaik_neprom_nl/Documents/Bureaublad/"/>
    </mc:Choice>
  </mc:AlternateContent>
  <xr:revisionPtr revIDLastSave="0" documentId="8_{01419166-D76F-4841-B186-AF5CC8F40C38}" xr6:coauthVersionLast="47" xr6:coauthVersionMax="47" xr10:uidLastSave="{00000000-0000-0000-0000-000000000000}"/>
  <bookViews>
    <workbookView xWindow="-110" yWindow="-110" windowWidth="19420" windowHeight="10420" tabRatio="848" xr2:uid="{6A1453D5-128B-4B48-8975-26C3AF5BCC7F}"/>
  </bookViews>
  <sheets>
    <sheet name="Werkwijze" sheetId="16" r:id="rId1"/>
    <sheet name="Gespreksblad" sheetId="9" r:id="rId2"/>
    <sheet name="Woco - Project" sheetId="8" r:id="rId3"/>
    <sheet name="Woco - Reeks onderhoud" sheetId="14" r:id="rId4"/>
    <sheet name="Ontwikkelaar - VEX" sheetId="2" r:id="rId5"/>
    <sheet name="Ontwikkelaar - GREX" sheetId="7" r:id="rId6"/>
    <sheet name="Hulpblad - Berekeningen" sheetId="3" r:id="rId7"/>
    <sheet name="Hulpblad - Uitgangspunten" sheetId="10" r:id="rId8"/>
    <sheet name="Hulpblad - Gegevensvalidatie" sheetId="5" state="hidden" r:id="rId9"/>
    <sheet name="Hulpblad - Stijl" sheetId="4" state="hidden" r:id="rId10"/>
  </sheets>
  <definedNames>
    <definedName name="_xlnm.Print_Area" localSheetId="1">Gespreksblad!$A$1:$I$80</definedName>
    <definedName name="_xlnm.Print_Area" localSheetId="6">'Hulpblad - Berekeningen'!$A:$T</definedName>
    <definedName name="_xlnm.Print_Area" localSheetId="7">'Hulpblad - Uitgangspunten'!$1:$34</definedName>
    <definedName name="_xlnm.Print_Area" localSheetId="4">'Ontwikkelaar - VEX'!$A$1:$I$66</definedName>
    <definedName name="_xlnm.Print_Area" localSheetId="0">Werkwijze!$A$1:$I$64</definedName>
    <definedName name="_xlnm.Print_Area" localSheetId="2">'Woco - Project'!$A:$I</definedName>
    <definedName name="_xlnm.Print_Area" localSheetId="3">'Woco - Reeks onderhoud'!$A:$T</definedName>
    <definedName name="afslagleegwaarde" localSheetId="3">'Woco - Reeks onderhoud'!#REF!</definedName>
    <definedName name="afslagleegwaarde">'Hulpblad - Berekeningen'!#REF!</definedName>
    <definedName name="afslagwozwaarde" localSheetId="3">'Woco - Reeks onderhoud'!#REF!</definedName>
    <definedName name="afslagwozwaarde">'Hulpblad - Berekeningen'!#REF!</definedName>
    <definedName name="bouwinflatie">'Hulpblad - Uitgangspunten'!#REF!</definedName>
    <definedName name="DV">'Hulpblad - Uitgangspunten'!$D$27</definedName>
    <definedName name="leegwaardeontwikkeling">'Hulpblad - Uitgangspunten'!#REF!</definedName>
    <definedName name="looninflatie">'Hulpblad - Uitgangspunten'!#REF!</definedName>
    <definedName name="Prijsinflatie">'Hulpblad - Uitgangspunten'!#REF!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0" i="9" l="1"/>
  <c r="C30" i="9"/>
  <c r="D27" i="9"/>
  <c r="C27" i="9"/>
  <c r="C53" i="8"/>
  <c r="C49" i="8"/>
  <c r="B30" i="2"/>
  <c r="C30" i="2"/>
  <c r="BL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F44" i="3"/>
  <c r="D44" i="3"/>
  <c r="E44" i="3"/>
  <c r="BL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E32" i="3"/>
  <c r="G7" i="3"/>
  <c r="H7" i="3" s="1"/>
  <c r="I7" i="3" s="1"/>
  <c r="J7" i="3" s="1"/>
  <c r="K7" i="3" s="1"/>
  <c r="L7" i="3" s="1"/>
  <c r="M7" i="3" s="1"/>
  <c r="N7" i="3" s="1"/>
  <c r="O7" i="3" s="1"/>
  <c r="P7" i="3" s="1"/>
  <c r="Q7" i="3" s="1"/>
  <c r="R7" i="3" s="1"/>
  <c r="S7" i="3" s="1"/>
  <c r="T7" i="3" s="1"/>
  <c r="U7" i="3" s="1"/>
  <c r="V7" i="3" s="1"/>
  <c r="W7" i="3" s="1"/>
  <c r="X7" i="3" s="1"/>
  <c r="Y7" i="3" s="1"/>
  <c r="Z7" i="3" s="1"/>
  <c r="AA7" i="3" s="1"/>
  <c r="AB7" i="3" s="1"/>
  <c r="AC7" i="3" s="1"/>
  <c r="AD7" i="3" s="1"/>
  <c r="AE7" i="3" s="1"/>
  <c r="AF7" i="3" s="1"/>
  <c r="AG7" i="3" s="1"/>
  <c r="AH7" i="3" s="1"/>
  <c r="AI7" i="3" s="1"/>
  <c r="AJ7" i="3" s="1"/>
  <c r="AK7" i="3" s="1"/>
  <c r="AL7" i="3" s="1"/>
  <c r="AM7" i="3" s="1"/>
  <c r="AN7" i="3" s="1"/>
  <c r="AO7" i="3" s="1"/>
  <c r="AP7" i="3" s="1"/>
  <c r="AQ7" i="3" s="1"/>
  <c r="AR7" i="3" s="1"/>
  <c r="AS7" i="3" s="1"/>
  <c r="AT7" i="3" s="1"/>
  <c r="AU7" i="3" s="1"/>
  <c r="AV7" i="3" s="1"/>
  <c r="AW7" i="3" s="1"/>
  <c r="AX7" i="3" s="1"/>
  <c r="AY7" i="3" s="1"/>
  <c r="AZ7" i="3" s="1"/>
  <c r="BA7" i="3" s="1"/>
  <c r="BB7" i="3" s="1"/>
  <c r="BC7" i="3" s="1"/>
  <c r="BD7" i="3" s="1"/>
  <c r="BE7" i="3" s="1"/>
  <c r="BF7" i="3" s="1"/>
  <c r="BG7" i="3" s="1"/>
  <c r="BH7" i="3" s="1"/>
  <c r="BI7" i="3" s="1"/>
  <c r="BJ7" i="3" s="1"/>
  <c r="BK7" i="3" s="1"/>
  <c r="F7" i="3"/>
  <c r="D12" i="14" l="1"/>
  <c r="C18" i="8" l="1"/>
  <c r="D31" i="9" l="1"/>
  <c r="D29" i="9"/>
  <c r="D28" i="9"/>
  <c r="D26" i="9"/>
  <c r="C42" i="8"/>
  <c r="C36" i="8"/>
  <c r="C46" i="8" l="1"/>
  <c r="D52" i="3"/>
  <c r="C41" i="8"/>
  <c r="H17" i="9" l="1"/>
  <c r="C49" i="2"/>
  <c r="H35" i="9"/>
  <c r="H36" i="9"/>
  <c r="F71" i="9"/>
  <c r="F66" i="9"/>
  <c r="F63" i="9"/>
  <c r="C65" i="2" l="1"/>
  <c r="C64" i="2"/>
  <c r="C63" i="2"/>
  <c r="C60" i="2"/>
  <c r="C59" i="2"/>
  <c r="C58" i="2"/>
  <c r="C51" i="2"/>
  <c r="C50" i="2"/>
  <c r="D16" i="3"/>
  <c r="D24" i="3" l="1"/>
  <c r="D26" i="3" s="1"/>
  <c r="C19" i="8" a="1"/>
  <c r="C19" i="8" s="1"/>
  <c r="E16" i="3"/>
  <c r="F16" i="3" s="1"/>
  <c r="D15" i="3"/>
  <c r="E15" i="3" s="1"/>
  <c r="F15" i="3" s="1"/>
  <c r="D14" i="3"/>
  <c r="D10" i="3"/>
  <c r="E10" i="3" s="1"/>
  <c r="F10" i="3" s="1"/>
  <c r="G10" i="3" s="1"/>
  <c r="H10" i="3" s="1"/>
  <c r="I10" i="3" s="1"/>
  <c r="J10" i="3" s="1"/>
  <c r="K10" i="3" s="1"/>
  <c r="L10" i="3" s="1"/>
  <c r="M10" i="3" s="1"/>
  <c r="N10" i="3" s="1"/>
  <c r="O10" i="3" s="1"/>
  <c r="P10" i="3" s="1"/>
  <c r="Q10" i="3" s="1"/>
  <c r="R10" i="3" s="1"/>
  <c r="S10" i="3" s="1"/>
  <c r="T10" i="3" s="1"/>
  <c r="U10" i="3" s="1"/>
  <c r="V10" i="3" s="1"/>
  <c r="W10" i="3" s="1"/>
  <c r="X10" i="3" s="1"/>
  <c r="Y10" i="3" s="1"/>
  <c r="Z10" i="3" s="1"/>
  <c r="AA10" i="3" s="1"/>
  <c r="AB10" i="3" s="1"/>
  <c r="AC10" i="3" s="1"/>
  <c r="AD10" i="3" s="1"/>
  <c r="AE10" i="3" s="1"/>
  <c r="AF10" i="3" s="1"/>
  <c r="AG10" i="3" s="1"/>
  <c r="AH10" i="3" s="1"/>
  <c r="AI10" i="3" s="1"/>
  <c r="AJ10" i="3" s="1"/>
  <c r="AK10" i="3" s="1"/>
  <c r="AL10" i="3" s="1"/>
  <c r="AM10" i="3" s="1"/>
  <c r="AN10" i="3" s="1"/>
  <c r="AO10" i="3" s="1"/>
  <c r="AP10" i="3" s="1"/>
  <c r="AQ10" i="3" s="1"/>
  <c r="AR10" i="3" s="1"/>
  <c r="AS10" i="3" s="1"/>
  <c r="AT10" i="3" s="1"/>
  <c r="AU10" i="3" s="1"/>
  <c r="AV10" i="3" s="1"/>
  <c r="AW10" i="3" s="1"/>
  <c r="AX10" i="3" s="1"/>
  <c r="AY10" i="3" s="1"/>
  <c r="AZ10" i="3" s="1"/>
  <c r="BA10" i="3" s="1"/>
  <c r="BB10" i="3" s="1"/>
  <c r="BC10" i="3" s="1"/>
  <c r="BD10" i="3" s="1"/>
  <c r="BE10" i="3" s="1"/>
  <c r="BF10" i="3" s="1"/>
  <c r="BG10" i="3" s="1"/>
  <c r="BH10" i="3" s="1"/>
  <c r="BI10" i="3" s="1"/>
  <c r="BJ10" i="3" s="1"/>
  <c r="BK10" i="3" s="1"/>
  <c r="BL10" i="3" s="1"/>
  <c r="D21" i="3"/>
  <c r="E21" i="3" s="1"/>
  <c r="F21" i="3" s="1"/>
  <c r="G21" i="3" s="1"/>
  <c r="D11" i="3"/>
  <c r="E11" i="3" s="1"/>
  <c r="F11" i="3" s="1"/>
  <c r="G11" i="3" s="1"/>
  <c r="H11" i="3" s="1"/>
  <c r="I11" i="3" s="1"/>
  <c r="J11" i="3" s="1"/>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AG11" i="3" s="1"/>
  <c r="AH11" i="3" s="1"/>
  <c r="AI11" i="3" s="1"/>
  <c r="AJ11" i="3" s="1"/>
  <c r="AK11" i="3" s="1"/>
  <c r="AL11" i="3" s="1"/>
  <c r="AM11" i="3" s="1"/>
  <c r="AN11" i="3" s="1"/>
  <c r="AO11" i="3" s="1"/>
  <c r="AP11" i="3" s="1"/>
  <c r="AQ11" i="3" s="1"/>
  <c r="AR11" i="3" s="1"/>
  <c r="AS11" i="3" s="1"/>
  <c r="AT11" i="3" s="1"/>
  <c r="AU11" i="3" s="1"/>
  <c r="AV11" i="3" s="1"/>
  <c r="AW11" i="3" s="1"/>
  <c r="AX11" i="3" s="1"/>
  <c r="AY11" i="3" s="1"/>
  <c r="AZ11" i="3" s="1"/>
  <c r="BA11" i="3" s="1"/>
  <c r="BB11" i="3" s="1"/>
  <c r="BC11" i="3" s="1"/>
  <c r="BD11" i="3" s="1"/>
  <c r="BE11" i="3" s="1"/>
  <c r="BF11" i="3" s="1"/>
  <c r="BG11" i="3" s="1"/>
  <c r="BH11" i="3" s="1"/>
  <c r="BI11" i="3" s="1"/>
  <c r="BJ11" i="3" s="1"/>
  <c r="BK11" i="3" s="1"/>
  <c r="BL11" i="3" s="1"/>
  <c r="D46" i="3"/>
  <c r="E14" i="3" l="1"/>
  <c r="F14" i="3" s="1"/>
  <c r="G16" i="3"/>
  <c r="H16" i="3" s="1"/>
  <c r="I16" i="3" s="1"/>
  <c r="J16" i="3" s="1"/>
  <c r="K16" i="3" s="1"/>
  <c r="L16" i="3" s="1"/>
  <c r="M16" i="3" s="1"/>
  <c r="N16" i="3" s="1"/>
  <c r="O16" i="3" s="1"/>
  <c r="P16" i="3" s="1"/>
  <c r="Q16" i="3" s="1"/>
  <c r="R16" i="3" s="1"/>
  <c r="S16" i="3" s="1"/>
  <c r="T16" i="3" s="1"/>
  <c r="U16" i="3" s="1"/>
  <c r="V16" i="3" s="1"/>
  <c r="W16" i="3" s="1"/>
  <c r="X16" i="3" s="1"/>
  <c r="Y16" i="3" s="1"/>
  <c r="Z16" i="3" s="1"/>
  <c r="AA16" i="3" s="1"/>
  <c r="AB16" i="3" s="1"/>
  <c r="AC16" i="3" s="1"/>
  <c r="AD16" i="3" s="1"/>
  <c r="AE16" i="3" s="1"/>
  <c r="AF16" i="3" s="1"/>
  <c r="AG16" i="3" s="1"/>
  <c r="AH16" i="3" s="1"/>
  <c r="AI16" i="3" s="1"/>
  <c r="AJ16" i="3" s="1"/>
  <c r="AK16" i="3" s="1"/>
  <c r="AL16" i="3" s="1"/>
  <c r="AM16" i="3" s="1"/>
  <c r="AN16" i="3" s="1"/>
  <c r="AO16" i="3" s="1"/>
  <c r="AP16" i="3" s="1"/>
  <c r="AQ16" i="3" s="1"/>
  <c r="AR16" i="3" s="1"/>
  <c r="AS16" i="3" s="1"/>
  <c r="AT16" i="3" s="1"/>
  <c r="AU16" i="3" s="1"/>
  <c r="AV16" i="3" s="1"/>
  <c r="AW16" i="3" s="1"/>
  <c r="AX16" i="3" s="1"/>
  <c r="AY16" i="3" s="1"/>
  <c r="AZ16" i="3" s="1"/>
  <c r="BA16" i="3" s="1"/>
  <c r="BB16" i="3" s="1"/>
  <c r="BC16" i="3" s="1"/>
  <c r="BD16" i="3" s="1"/>
  <c r="BE16" i="3" s="1"/>
  <c r="BF16" i="3" s="1"/>
  <c r="BG16" i="3" s="1"/>
  <c r="BH16" i="3" s="1"/>
  <c r="BI16" i="3" s="1"/>
  <c r="BJ16" i="3" s="1"/>
  <c r="BK16" i="3" s="1"/>
  <c r="BL16" i="3" s="1"/>
  <c r="E24" i="3"/>
  <c r="H21" i="3"/>
  <c r="I21" i="3" s="1"/>
  <c r="J21" i="3" s="1"/>
  <c r="K21" i="3" s="1"/>
  <c r="L21" i="3" s="1"/>
  <c r="M21" i="3" s="1"/>
  <c r="N21" i="3" s="1"/>
  <c r="O21" i="3" s="1"/>
  <c r="P21" i="3" s="1"/>
  <c r="Q21" i="3" s="1"/>
  <c r="R21" i="3" s="1"/>
  <c r="S21" i="3" s="1"/>
  <c r="T21" i="3" s="1"/>
  <c r="U21" i="3" s="1"/>
  <c r="V21" i="3" s="1"/>
  <c r="W21" i="3" s="1"/>
  <c r="X21" i="3" s="1"/>
  <c r="Y21" i="3" s="1"/>
  <c r="Z21" i="3" s="1"/>
  <c r="AA21" i="3" s="1"/>
  <c r="AB21" i="3" s="1"/>
  <c r="AC21" i="3" s="1"/>
  <c r="AD21" i="3" s="1"/>
  <c r="AE21" i="3" s="1"/>
  <c r="AF21" i="3" s="1"/>
  <c r="AG21" i="3" s="1"/>
  <c r="AH21" i="3" s="1"/>
  <c r="AI21" i="3" s="1"/>
  <c r="AJ21" i="3" s="1"/>
  <c r="AK21" i="3" s="1"/>
  <c r="AL21" i="3" s="1"/>
  <c r="AM21" i="3" s="1"/>
  <c r="AN21" i="3" s="1"/>
  <c r="AO21" i="3" s="1"/>
  <c r="AP21" i="3" s="1"/>
  <c r="AQ21" i="3" s="1"/>
  <c r="AR21" i="3" s="1"/>
  <c r="AS21" i="3" s="1"/>
  <c r="AT21" i="3" s="1"/>
  <c r="AU21" i="3" s="1"/>
  <c r="AV21" i="3" s="1"/>
  <c r="AW21" i="3" s="1"/>
  <c r="AX21" i="3" s="1"/>
  <c r="AY21" i="3" s="1"/>
  <c r="AZ21" i="3" s="1"/>
  <c r="BA21" i="3" s="1"/>
  <c r="BB21" i="3" s="1"/>
  <c r="BC21" i="3" s="1"/>
  <c r="BD21" i="3" s="1"/>
  <c r="BE21" i="3" s="1"/>
  <c r="BF21" i="3" s="1"/>
  <c r="BG21" i="3" s="1"/>
  <c r="BH21" i="3" s="1"/>
  <c r="BI21" i="3" s="1"/>
  <c r="BJ21" i="3" s="1"/>
  <c r="BK21" i="3" s="1"/>
  <c r="BL21" i="3" s="1"/>
  <c r="G15" i="3"/>
  <c r="G14" i="3" l="1"/>
  <c r="F24" i="3"/>
  <c r="F33" i="3" s="1"/>
  <c r="E33" i="3"/>
  <c r="E25" i="3"/>
  <c r="H15" i="3"/>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AS15" i="3" s="1"/>
  <c r="AT15" i="3" s="1"/>
  <c r="AU15" i="3" s="1"/>
  <c r="AV15" i="3" s="1"/>
  <c r="AW15" i="3" s="1"/>
  <c r="AX15" i="3" s="1"/>
  <c r="AY15" i="3" s="1"/>
  <c r="AZ15" i="3" s="1"/>
  <c r="BA15" i="3" s="1"/>
  <c r="BB15" i="3" s="1"/>
  <c r="BC15" i="3" s="1"/>
  <c r="BD15" i="3" s="1"/>
  <c r="BE15" i="3" s="1"/>
  <c r="BF15" i="3" s="1"/>
  <c r="BG15" i="3" s="1"/>
  <c r="BH15" i="3" s="1"/>
  <c r="BI15" i="3" s="1"/>
  <c r="BJ15" i="3" s="1"/>
  <c r="BK15" i="3" s="1"/>
  <c r="BL15" i="3" s="1"/>
  <c r="F25" i="3" l="1"/>
  <c r="F26" i="3" s="1"/>
  <c r="G24" i="3"/>
  <c r="G33" i="3" s="1"/>
  <c r="E26" i="3"/>
  <c r="H14" i="3"/>
  <c r="G25" i="3" l="1"/>
  <c r="G26" i="3" s="1"/>
  <c r="H24" i="3"/>
  <c r="H33" i="3" s="1"/>
  <c r="I14" i="3"/>
  <c r="I24" i="3" l="1"/>
  <c r="I33" i="3" s="1"/>
  <c r="H25" i="3"/>
  <c r="J14" i="3"/>
  <c r="H26" i="3"/>
  <c r="I25" i="3" l="1"/>
  <c r="J24" i="3"/>
  <c r="J33" i="3" s="1"/>
  <c r="I26" i="3"/>
  <c r="K14" i="3"/>
  <c r="K24" i="3"/>
  <c r="J25" i="3"/>
  <c r="K33" i="3" l="1"/>
  <c r="J26" i="3"/>
  <c r="L14" i="3"/>
  <c r="L24" i="3"/>
  <c r="K25" i="3"/>
  <c r="L33" i="3" l="1"/>
  <c r="K26" i="3"/>
  <c r="M14" i="3"/>
  <c r="M24" i="3"/>
  <c r="L25" i="3"/>
  <c r="M33" i="3" l="1"/>
  <c r="L26" i="3"/>
  <c r="N14" i="3"/>
  <c r="N24" i="3"/>
  <c r="M25" i="3"/>
  <c r="N33" i="3" l="1"/>
  <c r="M26" i="3"/>
  <c r="O14" i="3"/>
  <c r="O24" i="3"/>
  <c r="N25" i="3"/>
  <c r="O33" i="3" l="1"/>
  <c r="N26" i="3"/>
  <c r="P14" i="3"/>
  <c r="P24" i="3"/>
  <c r="O25" i="3"/>
  <c r="P33" i="3" l="1"/>
  <c r="O26" i="3"/>
  <c r="Q14" i="3"/>
  <c r="Q24" i="3"/>
  <c r="P25" i="3"/>
  <c r="Q33" i="3" l="1"/>
  <c r="P26" i="3"/>
  <c r="R14" i="3"/>
  <c r="R24" i="3"/>
  <c r="Q25" i="3"/>
  <c r="R33" i="3" l="1"/>
  <c r="Q26" i="3"/>
  <c r="S14" i="3"/>
  <c r="S24" i="3"/>
  <c r="R25" i="3"/>
  <c r="S33" i="3" l="1"/>
  <c r="R26" i="3"/>
  <c r="T14" i="3"/>
  <c r="T24" i="3"/>
  <c r="S25" i="3"/>
  <c r="T33" i="3" l="1"/>
  <c r="S26" i="3"/>
  <c r="U14" i="3"/>
  <c r="U24" i="3"/>
  <c r="T25" i="3"/>
  <c r="U33" i="3" l="1"/>
  <c r="T26" i="3"/>
  <c r="V14" i="3"/>
  <c r="V24" i="3"/>
  <c r="U25" i="3"/>
  <c r="V33" i="3" l="1"/>
  <c r="U26" i="3"/>
  <c r="W14" i="3"/>
  <c r="W24" i="3"/>
  <c r="V25" i="3"/>
  <c r="W33" i="3" l="1"/>
  <c r="V26" i="3"/>
  <c r="X14" i="3"/>
  <c r="X24" i="3"/>
  <c r="W25" i="3"/>
  <c r="X33" i="3" l="1"/>
  <c r="W26" i="3"/>
  <c r="Y14" i="3"/>
  <c r="Y24" i="3"/>
  <c r="X25" i="3"/>
  <c r="Y33" i="3" l="1"/>
  <c r="X26" i="3"/>
  <c r="Z14" i="3"/>
  <c r="Z24" i="3"/>
  <c r="Y25" i="3"/>
  <c r="Z33" i="3" l="1"/>
  <c r="Y26" i="3"/>
  <c r="AA14" i="3"/>
  <c r="AA24" i="3"/>
  <c r="Z25" i="3"/>
  <c r="AA33" i="3" l="1"/>
  <c r="Z26" i="3"/>
  <c r="AB14" i="3"/>
  <c r="AB24" i="3"/>
  <c r="AA25" i="3"/>
  <c r="AB33" i="3" l="1"/>
  <c r="AA26" i="3"/>
  <c r="AC14" i="3"/>
  <c r="AC24" i="3"/>
  <c r="AB25" i="3"/>
  <c r="AC33" i="3" l="1"/>
  <c r="AB26" i="3"/>
  <c r="AD14" i="3"/>
  <c r="AD24" i="3"/>
  <c r="AC25" i="3"/>
  <c r="AD33" i="3" l="1"/>
  <c r="AC26" i="3"/>
  <c r="AE14" i="3"/>
  <c r="AE24" i="3"/>
  <c r="AD25" i="3"/>
  <c r="AE33" i="3" l="1"/>
  <c r="AD26" i="3"/>
  <c r="AF14" i="3"/>
  <c r="AF24" i="3"/>
  <c r="AE25" i="3"/>
  <c r="AF33" i="3" l="1"/>
  <c r="AE26" i="3"/>
  <c r="AG14" i="3"/>
  <c r="AG24" i="3"/>
  <c r="AF25" i="3"/>
  <c r="AG33" i="3" l="1"/>
  <c r="AF26" i="3"/>
  <c r="AH14" i="3"/>
  <c r="AH24" i="3"/>
  <c r="AG25" i="3"/>
  <c r="AH33" i="3" l="1"/>
  <c r="AG26" i="3"/>
  <c r="AI14" i="3"/>
  <c r="AI24" i="3"/>
  <c r="AH25" i="3"/>
  <c r="AI33" i="3" l="1"/>
  <c r="AH26" i="3"/>
  <c r="AJ14" i="3"/>
  <c r="AJ24" i="3"/>
  <c r="AI25" i="3"/>
  <c r="AJ33" i="3" l="1"/>
  <c r="AI26" i="3"/>
  <c r="AK14" i="3"/>
  <c r="AK24" i="3"/>
  <c r="AJ25" i="3"/>
  <c r="AK33" i="3" l="1"/>
  <c r="AJ26" i="3"/>
  <c r="AL14" i="3"/>
  <c r="AL24" i="3"/>
  <c r="AK25" i="3"/>
  <c r="AL33" i="3" l="1"/>
  <c r="AK26" i="3"/>
  <c r="AM14" i="3"/>
  <c r="AM24" i="3"/>
  <c r="AL25" i="3"/>
  <c r="AM33" i="3" l="1"/>
  <c r="AL26" i="3"/>
  <c r="AN14" i="3"/>
  <c r="AN24" i="3"/>
  <c r="AM25" i="3"/>
  <c r="AN33" i="3" l="1"/>
  <c r="AM26" i="3"/>
  <c r="AO14" i="3"/>
  <c r="AO24" i="3"/>
  <c r="AN25" i="3"/>
  <c r="AO33" i="3" l="1"/>
  <c r="AN26" i="3"/>
  <c r="AP14" i="3"/>
  <c r="AP24" i="3"/>
  <c r="AO25" i="3"/>
  <c r="AP33" i="3" l="1"/>
  <c r="AO26" i="3"/>
  <c r="AQ14" i="3"/>
  <c r="AQ24" i="3"/>
  <c r="AP25" i="3"/>
  <c r="AQ33" i="3" l="1"/>
  <c r="AP26" i="3"/>
  <c r="AR14" i="3"/>
  <c r="AR24" i="3"/>
  <c r="AQ25" i="3"/>
  <c r="AR33" i="3" l="1"/>
  <c r="AQ26" i="3"/>
  <c r="AS14" i="3"/>
  <c r="AS24" i="3"/>
  <c r="AR25" i="3"/>
  <c r="AS33" i="3" l="1"/>
  <c r="AR26" i="3"/>
  <c r="AT14" i="3"/>
  <c r="AT24" i="3"/>
  <c r="AS25" i="3"/>
  <c r="AT33" i="3" l="1"/>
  <c r="AS26" i="3"/>
  <c r="AU14" i="3"/>
  <c r="AU24" i="3"/>
  <c r="AT25" i="3"/>
  <c r="AU33" i="3" l="1"/>
  <c r="AT26" i="3"/>
  <c r="AV14" i="3"/>
  <c r="AV24" i="3"/>
  <c r="AU25" i="3"/>
  <c r="AV33" i="3" l="1"/>
  <c r="AU26" i="3"/>
  <c r="AW14" i="3"/>
  <c r="AW24" i="3"/>
  <c r="AV25" i="3"/>
  <c r="AW33" i="3" l="1"/>
  <c r="AV26" i="3"/>
  <c r="AX14" i="3"/>
  <c r="AX24" i="3"/>
  <c r="AW25" i="3"/>
  <c r="AX33" i="3" l="1"/>
  <c r="AW26" i="3"/>
  <c r="AY14" i="3"/>
  <c r="AY24" i="3"/>
  <c r="AX25" i="3"/>
  <c r="AY33" i="3" l="1"/>
  <c r="AX26" i="3"/>
  <c r="AZ14" i="3"/>
  <c r="AZ24" i="3"/>
  <c r="AY25" i="3"/>
  <c r="AZ33" i="3" l="1"/>
  <c r="AY26" i="3"/>
  <c r="BA14" i="3"/>
  <c r="BA24" i="3"/>
  <c r="AZ25" i="3"/>
  <c r="BA33" i="3" l="1"/>
  <c r="AZ26" i="3"/>
  <c r="BB14" i="3"/>
  <c r="BB24" i="3"/>
  <c r="BA25" i="3"/>
  <c r="BB33" i="3" l="1"/>
  <c r="BA26" i="3"/>
  <c r="BC14" i="3"/>
  <c r="BC24" i="3"/>
  <c r="BB25" i="3"/>
  <c r="BC33" i="3" l="1"/>
  <c r="BB26" i="3"/>
  <c r="BD14" i="3"/>
  <c r="BD24" i="3"/>
  <c r="BC25" i="3"/>
  <c r="BD33" i="3" l="1"/>
  <c r="BC26" i="3"/>
  <c r="BE14" i="3"/>
  <c r="BE24" i="3"/>
  <c r="BD25" i="3"/>
  <c r="BE33" i="3" l="1"/>
  <c r="BD26" i="3"/>
  <c r="BF14" i="3"/>
  <c r="BF24" i="3"/>
  <c r="BE25" i="3"/>
  <c r="BF33" i="3" l="1"/>
  <c r="BE26" i="3"/>
  <c r="BG14" i="3"/>
  <c r="BG24" i="3"/>
  <c r="BF25" i="3"/>
  <c r="BG33" i="3" l="1"/>
  <c r="BF26" i="3"/>
  <c r="BH14" i="3"/>
  <c r="BH24" i="3"/>
  <c r="BG25" i="3"/>
  <c r="BH33" i="3" l="1"/>
  <c r="BG26" i="3"/>
  <c r="BI14" i="3"/>
  <c r="BI24" i="3"/>
  <c r="BH25" i="3"/>
  <c r="BI33" i="3" l="1"/>
  <c r="BH26" i="3"/>
  <c r="BJ14" i="3"/>
  <c r="BJ24" i="3"/>
  <c r="BI25" i="3"/>
  <c r="BJ33" i="3" l="1"/>
  <c r="BI26" i="3"/>
  <c r="BK14" i="3"/>
  <c r="BK24" i="3"/>
  <c r="BJ25" i="3"/>
  <c r="BK33" i="3" l="1"/>
  <c r="BJ26" i="3"/>
  <c r="BL14" i="3"/>
  <c r="BL24" i="3"/>
  <c r="BK25" i="3"/>
  <c r="BK26" i="3" l="1"/>
  <c r="BL25" i="3"/>
  <c r="BL33" i="3"/>
  <c r="BL26" i="3" l="1"/>
  <c r="C43" i="8" l="1"/>
  <c r="D29" i="3"/>
  <c r="D30" i="3"/>
  <c r="E30" i="3" s="1"/>
  <c r="F30" i="3" s="1"/>
  <c r="G30" i="3" s="1"/>
  <c r="H30" i="3" s="1"/>
  <c r="I30" i="3" s="1"/>
  <c r="E39" i="3" l="1"/>
  <c r="F39" i="3"/>
  <c r="G39" i="3" l="1"/>
  <c r="H39" i="3" l="1"/>
  <c r="I39" i="3"/>
  <c r="J30" i="3" l="1"/>
  <c r="J39" i="3" s="1"/>
  <c r="K30" i="3" l="1"/>
  <c r="K39" i="3" s="1"/>
  <c r="L30" i="3" l="1"/>
  <c r="L39" i="3" s="1"/>
  <c r="M30" i="3" l="1"/>
  <c r="M39" i="3" s="1"/>
  <c r="N30" i="3" l="1"/>
  <c r="N39" i="3" s="1"/>
  <c r="O30" i="3" l="1"/>
  <c r="P30" i="3" s="1"/>
  <c r="O39" i="3" l="1"/>
  <c r="P39" i="3"/>
  <c r="Q30" i="3"/>
  <c r="Q39" i="3" l="1"/>
  <c r="R30" i="3"/>
  <c r="R39" i="3" l="1"/>
  <c r="S30" i="3"/>
  <c r="S39" i="3" l="1"/>
  <c r="T30" i="3"/>
  <c r="T39" i="3" l="1"/>
  <c r="U30" i="3"/>
  <c r="U39" i="3" l="1"/>
  <c r="V30" i="3"/>
  <c r="V39" i="3" l="1"/>
  <c r="W30" i="3"/>
  <c r="W39" i="3" l="1"/>
  <c r="X30" i="3"/>
  <c r="X39" i="3" l="1"/>
  <c r="Y30" i="3"/>
  <c r="Y39" i="3" l="1"/>
  <c r="Z30" i="3"/>
  <c r="Z39" i="3" l="1"/>
  <c r="AA30" i="3"/>
  <c r="AA39" i="3" l="1"/>
  <c r="AB30" i="3"/>
  <c r="AB39" i="3" l="1"/>
  <c r="AC30" i="3"/>
  <c r="AC39" i="3" l="1"/>
  <c r="AD30" i="3"/>
  <c r="AD39" i="3" l="1"/>
  <c r="AE30" i="3"/>
  <c r="AE39" i="3" s="1"/>
  <c r="AF30" i="3" l="1"/>
  <c r="AF39" i="3" l="1"/>
  <c r="AG30" i="3"/>
  <c r="AG39" i="3" l="1"/>
  <c r="AH30" i="3"/>
  <c r="AH39" i="3" l="1"/>
  <c r="AI30" i="3"/>
  <c r="AI39" i="3" s="1"/>
  <c r="AJ30" i="3" l="1"/>
  <c r="AJ39" i="3" l="1"/>
  <c r="AK30" i="3"/>
  <c r="AK39" i="3" l="1"/>
  <c r="AL30" i="3"/>
  <c r="AL39" i="3" l="1"/>
  <c r="AM30" i="3"/>
  <c r="AM39" i="3" l="1"/>
  <c r="AN30" i="3"/>
  <c r="AN39" i="3" l="1"/>
  <c r="AO30" i="3"/>
  <c r="AO39" i="3" l="1"/>
  <c r="AP30" i="3"/>
  <c r="AP39" i="3" l="1"/>
  <c r="AQ30" i="3"/>
  <c r="AQ39" i="3" l="1"/>
  <c r="AR30" i="3"/>
  <c r="AR39" i="3" l="1"/>
  <c r="AS30" i="3"/>
  <c r="AS39" i="3" l="1"/>
  <c r="AT30" i="3"/>
  <c r="AT39" i="3" l="1"/>
  <c r="AU30" i="3"/>
  <c r="AU39" i="3" l="1"/>
  <c r="AV30" i="3"/>
  <c r="AV39" i="3" l="1"/>
  <c r="AW30" i="3"/>
  <c r="AW39" i="3" l="1"/>
  <c r="AX30" i="3"/>
  <c r="AX39" i="3" l="1"/>
  <c r="AY30" i="3"/>
  <c r="AY39" i="3" l="1"/>
  <c r="AZ30" i="3"/>
  <c r="AZ39" i="3" l="1"/>
  <c r="BA30" i="3"/>
  <c r="BA39" i="3" l="1"/>
  <c r="BB30" i="3"/>
  <c r="BB39" i="3" l="1"/>
  <c r="BC30" i="3"/>
  <c r="BC39" i="3" l="1"/>
  <c r="BD30" i="3"/>
  <c r="BD39" i="3" l="1"/>
  <c r="BE30" i="3"/>
  <c r="BE39" i="3" l="1"/>
  <c r="BF30" i="3"/>
  <c r="BF39" i="3" l="1"/>
  <c r="BG30" i="3"/>
  <c r="BG39" i="3" l="1"/>
  <c r="BH30" i="3"/>
  <c r="BH39" i="3" l="1"/>
  <c r="BI30" i="3"/>
  <c r="BI39" i="3" l="1"/>
  <c r="BJ30" i="3"/>
  <c r="BJ39" i="3" l="1"/>
  <c r="BK30" i="3"/>
  <c r="BK39" i="3" l="1"/>
  <c r="BL30" i="3"/>
  <c r="BL39" i="3" s="1"/>
  <c r="D9" i="3" l="1"/>
  <c r="E9" i="3" l="1"/>
  <c r="D19" i="3"/>
  <c r="D20" i="3"/>
  <c r="E20" i="3" s="1"/>
  <c r="F9" i="3" l="1"/>
  <c r="E19" i="3"/>
  <c r="F20" i="3"/>
  <c r="G20" i="3" s="1"/>
  <c r="H20" i="3" s="1"/>
  <c r="I20" i="3" s="1"/>
  <c r="J20" i="3" s="1"/>
  <c r="K20" i="3" s="1"/>
  <c r="L20" i="3" s="1"/>
  <c r="M20" i="3" s="1"/>
  <c r="N20" i="3" s="1"/>
  <c r="O20" i="3" s="1"/>
  <c r="P20" i="3" s="1"/>
  <c r="Q20" i="3" s="1"/>
  <c r="R20" i="3" s="1"/>
  <c r="S20" i="3" s="1"/>
  <c r="T20" i="3" s="1"/>
  <c r="U20" i="3" s="1"/>
  <c r="V20" i="3" s="1"/>
  <c r="W20" i="3" s="1"/>
  <c r="X20" i="3" s="1"/>
  <c r="Y20" i="3" s="1"/>
  <c r="Z20" i="3" s="1"/>
  <c r="AA20" i="3" s="1"/>
  <c r="AB20" i="3" s="1"/>
  <c r="AC20" i="3" s="1"/>
  <c r="AD20" i="3" s="1"/>
  <c r="AE20" i="3" s="1"/>
  <c r="AF20" i="3" s="1"/>
  <c r="AG20" i="3" s="1"/>
  <c r="AH20" i="3" s="1"/>
  <c r="AI20" i="3" s="1"/>
  <c r="AJ20" i="3" s="1"/>
  <c r="AK20" i="3" s="1"/>
  <c r="AL20" i="3" s="1"/>
  <c r="AM20" i="3" s="1"/>
  <c r="AN20" i="3" s="1"/>
  <c r="AO20" i="3" s="1"/>
  <c r="AP20" i="3" s="1"/>
  <c r="AQ20" i="3" s="1"/>
  <c r="AR20" i="3" s="1"/>
  <c r="AS20" i="3" s="1"/>
  <c r="AT20" i="3" s="1"/>
  <c r="AU20" i="3" s="1"/>
  <c r="AV20" i="3" s="1"/>
  <c r="AW20" i="3" s="1"/>
  <c r="AX20" i="3" s="1"/>
  <c r="AY20" i="3" s="1"/>
  <c r="AZ20" i="3" s="1"/>
  <c r="BA20" i="3" s="1"/>
  <c r="BB20" i="3" s="1"/>
  <c r="BC20" i="3" s="1"/>
  <c r="BD20" i="3" s="1"/>
  <c r="BE20" i="3" s="1"/>
  <c r="BF20" i="3" s="1"/>
  <c r="BG20" i="3" s="1"/>
  <c r="BH20" i="3" s="1"/>
  <c r="BI20" i="3" s="1"/>
  <c r="BJ20" i="3" s="1"/>
  <c r="BK20" i="3" s="1"/>
  <c r="BL20" i="3" s="1"/>
  <c r="F19" i="3" l="1"/>
  <c r="E34" i="3"/>
  <c r="G9" i="3"/>
  <c r="F34" i="3" l="1"/>
  <c r="G19" i="3"/>
  <c r="H9" i="3"/>
  <c r="G34" i="3" l="1"/>
  <c r="H19" i="3"/>
  <c r="I9" i="3"/>
  <c r="H34" i="3" l="1"/>
  <c r="I19" i="3"/>
  <c r="J9" i="3"/>
  <c r="I34" i="3" l="1"/>
  <c r="J19" i="3"/>
  <c r="K9" i="3"/>
  <c r="J34" i="3" l="1"/>
  <c r="K19" i="3"/>
  <c r="L9" i="3"/>
  <c r="K34" i="3" l="1"/>
  <c r="L19" i="3"/>
  <c r="M9" i="3"/>
  <c r="L34" i="3" l="1"/>
  <c r="M19" i="3"/>
  <c r="N9" i="3"/>
  <c r="M34" i="3" l="1"/>
  <c r="N19" i="3"/>
  <c r="O9" i="3"/>
  <c r="N34" i="3" l="1"/>
  <c r="P9" i="3"/>
  <c r="O19" i="3"/>
  <c r="O34" i="3" l="1"/>
  <c r="P19" i="3"/>
  <c r="Q9" i="3"/>
  <c r="P34" i="3" l="1"/>
  <c r="R9" i="3"/>
  <c r="Q19" i="3"/>
  <c r="Q34" i="3" l="1"/>
  <c r="R19" i="3"/>
  <c r="S9" i="3"/>
  <c r="R34" i="3" l="1"/>
  <c r="R35" i="3" s="1"/>
  <c r="R36" i="3" s="1"/>
  <c r="T9" i="3"/>
  <c r="S19" i="3"/>
  <c r="S34" i="3" l="1"/>
  <c r="T19" i="3"/>
  <c r="U9" i="3"/>
  <c r="T34" i="3" l="1"/>
  <c r="U19" i="3"/>
  <c r="V9" i="3"/>
  <c r="U34" i="3" l="1"/>
  <c r="V19" i="3"/>
  <c r="W9" i="3"/>
  <c r="V34" i="3" l="1"/>
  <c r="X9" i="3"/>
  <c r="W19" i="3"/>
  <c r="W34" i="3" l="1"/>
  <c r="X19" i="3"/>
  <c r="Y9" i="3"/>
  <c r="X34" i="3" l="1"/>
  <c r="Y19" i="3"/>
  <c r="Z9" i="3"/>
  <c r="Y34" i="3" l="1"/>
  <c r="AA9" i="3"/>
  <c r="Z19" i="3"/>
  <c r="Z34" i="3" l="1"/>
  <c r="AA19" i="3"/>
  <c r="AB9" i="3"/>
  <c r="AA34" i="3" l="1"/>
  <c r="AB19" i="3"/>
  <c r="AC9" i="3"/>
  <c r="AB34" i="3" l="1"/>
  <c r="AD9" i="3"/>
  <c r="AC19" i="3"/>
  <c r="AC34" i="3" l="1"/>
  <c r="AD19" i="3"/>
  <c r="AE9" i="3"/>
  <c r="AD34" i="3" l="1"/>
  <c r="AE19" i="3"/>
  <c r="AF9" i="3"/>
  <c r="AE34" i="3" l="1"/>
  <c r="AG9" i="3"/>
  <c r="AF19" i="3"/>
  <c r="AF34" i="3" l="1"/>
  <c r="AG19" i="3"/>
  <c r="AH9" i="3"/>
  <c r="AG34" i="3" l="1"/>
  <c r="AI9" i="3"/>
  <c r="AH19" i="3"/>
  <c r="AH34" i="3" l="1"/>
  <c r="AI19" i="3"/>
  <c r="AJ9" i="3"/>
  <c r="AI34" i="3" l="1"/>
  <c r="AK9" i="3"/>
  <c r="AJ19" i="3"/>
  <c r="AJ34" i="3" l="1"/>
  <c r="AK19" i="3"/>
  <c r="AL9" i="3"/>
  <c r="AK34" i="3" l="1"/>
  <c r="AL19" i="3"/>
  <c r="AM9" i="3"/>
  <c r="AL34" i="3" l="1"/>
  <c r="AN9" i="3"/>
  <c r="AM19" i="3"/>
  <c r="AM34" i="3" l="1"/>
  <c r="AN19" i="3"/>
  <c r="AO9" i="3"/>
  <c r="AN34" i="3" l="1"/>
  <c r="AO19" i="3"/>
  <c r="AP9" i="3"/>
  <c r="AO34" i="3" l="1"/>
  <c r="AQ9" i="3"/>
  <c r="AP19" i="3"/>
  <c r="AP34" i="3" l="1"/>
  <c r="AQ19" i="3"/>
  <c r="AR9" i="3"/>
  <c r="AQ34" i="3" l="1"/>
  <c r="AS9" i="3"/>
  <c r="AR19" i="3"/>
  <c r="AR34" i="3" l="1"/>
  <c r="AS19" i="3"/>
  <c r="AT9" i="3"/>
  <c r="AS34" i="3" l="1"/>
  <c r="AU9" i="3"/>
  <c r="AT19" i="3"/>
  <c r="AT34" i="3" l="1"/>
  <c r="AU19" i="3"/>
  <c r="AV9" i="3"/>
  <c r="AU34" i="3" l="1"/>
  <c r="AW9" i="3"/>
  <c r="AV19" i="3"/>
  <c r="AV34" i="3" l="1"/>
  <c r="AW19" i="3"/>
  <c r="AX9" i="3"/>
  <c r="AW34" i="3" l="1"/>
  <c r="AY9" i="3"/>
  <c r="AX19" i="3"/>
  <c r="AX34" i="3" l="1"/>
  <c r="AY19" i="3"/>
  <c r="AZ9" i="3"/>
  <c r="AY34" i="3" l="1"/>
  <c r="BA9" i="3"/>
  <c r="AZ19" i="3"/>
  <c r="AZ34" i="3" l="1"/>
  <c r="BA19" i="3"/>
  <c r="BB9" i="3"/>
  <c r="BA34" i="3" l="1"/>
  <c r="BC9" i="3"/>
  <c r="BB19" i="3"/>
  <c r="C24" i="8"/>
  <c r="E9" i="14"/>
  <c r="E29" i="3" s="1"/>
  <c r="E38" i="3" s="1"/>
  <c r="BB34" i="3" l="1"/>
  <c r="BC19" i="3"/>
  <c r="BD9" i="3"/>
  <c r="F9" i="14"/>
  <c r="BC34" i="3" l="1"/>
  <c r="BC35" i="3" s="1"/>
  <c r="BC36" i="3" s="1"/>
  <c r="BE9" i="3"/>
  <c r="BD19" i="3"/>
  <c r="F35" i="3"/>
  <c r="F36" i="3" s="1"/>
  <c r="G9" i="14"/>
  <c r="F29" i="3"/>
  <c r="AN35" i="3"/>
  <c r="AN36" i="3" s="1"/>
  <c r="AE35" i="3"/>
  <c r="AE36" i="3" s="1"/>
  <c r="W35" i="3"/>
  <c r="W36" i="3" s="1"/>
  <c r="O35" i="3"/>
  <c r="O36" i="3" s="1"/>
  <c r="AU35" i="3"/>
  <c r="AU36" i="3" s="1"/>
  <c r="H35" i="3"/>
  <c r="H36" i="3" s="1"/>
  <c r="P35" i="3"/>
  <c r="P36" i="3" s="1"/>
  <c r="AF35" i="3"/>
  <c r="AF36" i="3" s="1"/>
  <c r="G35" i="3"/>
  <c r="G36" i="3" s="1"/>
  <c r="X35" i="3"/>
  <c r="X36" i="3" s="1"/>
  <c r="AQ35" i="3"/>
  <c r="AQ36" i="3" s="1"/>
  <c r="AV35" i="3"/>
  <c r="AV36" i="3" s="1"/>
  <c r="AM35" i="3"/>
  <c r="AM36" i="3" s="1"/>
  <c r="BD34" i="3" l="1"/>
  <c r="BD35" i="3" s="1"/>
  <c r="BD36" i="3" s="1"/>
  <c r="BE19" i="3"/>
  <c r="BF9" i="3"/>
  <c r="F38" i="3"/>
  <c r="BB35" i="3"/>
  <c r="BB36" i="3" s="1"/>
  <c r="AZ35" i="3"/>
  <c r="AZ36" i="3" s="1"/>
  <c r="AW35" i="3"/>
  <c r="AW36" i="3" s="1"/>
  <c r="E35" i="3"/>
  <c r="E36" i="3" s="1"/>
  <c r="D65" i="3" s="1"/>
  <c r="AC35" i="3"/>
  <c r="AC36" i="3" s="1"/>
  <c r="Z35" i="3"/>
  <c r="Z36" i="3" s="1"/>
  <c r="AR35" i="3"/>
  <c r="AR36" i="3" s="1"/>
  <c r="Q35" i="3"/>
  <c r="Q36" i="3" s="1"/>
  <c r="AY35" i="3"/>
  <c r="AY36" i="3" s="1"/>
  <c r="AK35" i="3"/>
  <c r="AK36" i="3" s="1"/>
  <c r="K35" i="3"/>
  <c r="K36" i="3" s="1"/>
  <c r="S35" i="3"/>
  <c r="S36" i="3" s="1"/>
  <c r="AH35" i="3"/>
  <c r="AH36" i="3" s="1"/>
  <c r="T35" i="3"/>
  <c r="T36" i="3" s="1"/>
  <c r="AG35" i="3"/>
  <c r="AG36" i="3" s="1"/>
  <c r="AI35" i="3"/>
  <c r="AI36" i="3" s="1"/>
  <c r="J35" i="3"/>
  <c r="J36" i="3" s="1"/>
  <c r="AB35" i="3"/>
  <c r="AB36" i="3" s="1"/>
  <c r="AL35" i="3"/>
  <c r="AL36" i="3" s="1"/>
  <c r="AO35" i="3"/>
  <c r="AO36" i="3" s="1"/>
  <c r="AD35" i="3"/>
  <c r="AD36" i="3" s="1"/>
  <c r="AT35" i="3"/>
  <c r="AT36" i="3" s="1"/>
  <c r="AS35" i="3"/>
  <c r="AS36" i="3" s="1"/>
  <c r="Y35" i="3"/>
  <c r="Y36" i="3" s="1"/>
  <c r="AA35" i="3"/>
  <c r="AA36" i="3" s="1"/>
  <c r="L35" i="3"/>
  <c r="L36" i="3" s="1"/>
  <c r="U35" i="3"/>
  <c r="U36" i="3" s="1"/>
  <c r="M35" i="3"/>
  <c r="M36" i="3" s="1"/>
  <c r="I35" i="3"/>
  <c r="I36" i="3" s="1"/>
  <c r="V35" i="3"/>
  <c r="V36" i="3" s="1"/>
  <c r="AX35" i="3"/>
  <c r="AX36" i="3" s="1"/>
  <c r="AP35" i="3"/>
  <c r="AP36" i="3" s="1"/>
  <c r="AJ35" i="3"/>
  <c r="AJ36" i="3" s="1"/>
  <c r="BA35" i="3"/>
  <c r="BA36" i="3" s="1"/>
  <c r="N35" i="3"/>
  <c r="N36" i="3" s="1"/>
  <c r="H9" i="14"/>
  <c r="G29" i="3"/>
  <c r="E46" i="3"/>
  <c r="E7" i="14"/>
  <c r="F7" i="14" s="1"/>
  <c r="G7" i="14" s="1"/>
  <c r="H7" i="14" s="1"/>
  <c r="I7" i="14" s="1"/>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AG7" i="14" s="1"/>
  <c r="AH7" i="14" s="1"/>
  <c r="AI7" i="14" s="1"/>
  <c r="AJ7" i="14" s="1"/>
  <c r="AK7" i="14" s="1"/>
  <c r="AL7" i="14" s="1"/>
  <c r="AM7" i="14" s="1"/>
  <c r="AN7" i="14" s="1"/>
  <c r="AO7" i="14" s="1"/>
  <c r="AP7" i="14" s="1"/>
  <c r="AQ7" i="14" s="1"/>
  <c r="AR7" i="14" s="1"/>
  <c r="AS7" i="14" s="1"/>
  <c r="AT7" i="14" s="1"/>
  <c r="AU7" i="14" s="1"/>
  <c r="AV7" i="14" s="1"/>
  <c r="AW7" i="14" s="1"/>
  <c r="AX7" i="14" s="1"/>
  <c r="AY7" i="14" s="1"/>
  <c r="AZ7" i="14" s="1"/>
  <c r="BA7" i="14" s="1"/>
  <c r="BB7" i="14" s="1"/>
  <c r="BC7" i="14" s="1"/>
  <c r="BD7" i="14" s="1"/>
  <c r="BE7" i="14" s="1"/>
  <c r="BF7" i="14" s="1"/>
  <c r="BG7" i="14" s="1"/>
  <c r="BH7" i="14" s="1"/>
  <c r="BI7" i="14" s="1"/>
  <c r="BJ7" i="14" s="1"/>
  <c r="BK7" i="14" s="1"/>
  <c r="BL7" i="14" s="1"/>
  <c r="H77" i="9"/>
  <c r="H74" i="9"/>
  <c r="H71" i="9"/>
  <c r="G77" i="9"/>
  <c r="G74" i="9"/>
  <c r="G71" i="9"/>
  <c r="F77" i="9"/>
  <c r="F74" i="9"/>
  <c r="H66" i="9"/>
  <c r="H63" i="9"/>
  <c r="G66" i="9"/>
  <c r="G63" i="9"/>
  <c r="F46" i="3" l="1"/>
  <c r="G46" i="3" s="1"/>
  <c r="H46" i="3" s="1"/>
  <c r="I46" i="3" s="1"/>
  <c r="J46" i="3" s="1"/>
  <c r="K46" i="3" s="1"/>
  <c r="L46" i="3" s="1"/>
  <c r="M46" i="3" s="1"/>
  <c r="N46" i="3" s="1"/>
  <c r="O46" i="3" s="1"/>
  <c r="P46" i="3" s="1"/>
  <c r="Q46" i="3" s="1"/>
  <c r="R46" i="3" s="1"/>
  <c r="S46" i="3" s="1"/>
  <c r="T58" i="3" s="1"/>
  <c r="BE34" i="3"/>
  <c r="BE35" i="3" s="1"/>
  <c r="BE36" i="3" s="1"/>
  <c r="BG9" i="3"/>
  <c r="BF19" i="3"/>
  <c r="C47" i="8"/>
  <c r="G38" i="3"/>
  <c r="I9" i="14"/>
  <c r="H29" i="3"/>
  <c r="D7" i="14"/>
  <c r="C48" i="8" l="1"/>
  <c r="C50" i="8" s="1"/>
  <c r="BF34" i="3"/>
  <c r="BF35" i="3" s="1"/>
  <c r="BF36" i="3" s="1"/>
  <c r="BG19" i="3"/>
  <c r="BH9" i="3"/>
  <c r="H38" i="3"/>
  <c r="J9" i="14"/>
  <c r="I29" i="3"/>
  <c r="I38" i="3" s="1"/>
  <c r="H39" i="9"/>
  <c r="H40" i="9"/>
  <c r="F39" i="9"/>
  <c r="F35" i="9"/>
  <c r="F36" i="9"/>
  <c r="H34" i="9"/>
  <c r="F34" i="9"/>
  <c r="F25" i="9"/>
  <c r="C12" i="9"/>
  <c r="C11" i="9"/>
  <c r="C10" i="9"/>
  <c r="G12" i="9"/>
  <c r="G11" i="9"/>
  <c r="G10" i="9"/>
  <c r="C33" i="7"/>
  <c r="C31" i="2" s="1"/>
  <c r="G41" i="9"/>
  <c r="G40" i="9"/>
  <c r="G39" i="9"/>
  <c r="G36" i="9"/>
  <c r="G35" i="9"/>
  <c r="G34" i="9"/>
  <c r="G27" i="9"/>
  <c r="G25" i="9"/>
  <c r="G26" i="9"/>
  <c r="D20" i="9"/>
  <c r="F41" i="9"/>
  <c r="F40" i="9"/>
  <c r="H41" i="9"/>
  <c r="F27" i="9"/>
  <c r="F26" i="9"/>
  <c r="F31" i="9"/>
  <c r="F30" i="9"/>
  <c r="C36" i="2"/>
  <c r="H21" i="9"/>
  <c r="D19" i="9"/>
  <c r="D17" i="9"/>
  <c r="D18" i="9"/>
  <c r="G17" i="9"/>
  <c r="C24" i="2"/>
  <c r="H22" i="9"/>
  <c r="H20" i="9"/>
  <c r="F22" i="9"/>
  <c r="F21" i="9"/>
  <c r="F20" i="9"/>
  <c r="C19" i="9"/>
  <c r="C18" i="9"/>
  <c r="C17" i="9"/>
  <c r="B35" i="8"/>
  <c r="B19" i="9" s="1"/>
  <c r="B29" i="2"/>
  <c r="F58" i="9"/>
  <c r="G58" i="9"/>
  <c r="H58" i="9"/>
  <c r="F55" i="9"/>
  <c r="G55" i="9"/>
  <c r="H55" i="9"/>
  <c r="F52" i="9"/>
  <c r="G52" i="9"/>
  <c r="H52" i="9"/>
  <c r="F49" i="9"/>
  <c r="G49" i="9"/>
  <c r="H49" i="9"/>
  <c r="G46" i="9"/>
  <c r="H46" i="9"/>
  <c r="F46" i="9"/>
  <c r="D77" i="9"/>
  <c r="D74" i="9"/>
  <c r="D71" i="9"/>
  <c r="C77" i="9"/>
  <c r="C74" i="9"/>
  <c r="C71" i="9"/>
  <c r="C66" i="9"/>
  <c r="D66" i="9"/>
  <c r="D63" i="9"/>
  <c r="C63" i="9"/>
  <c r="D58" i="9"/>
  <c r="D55" i="9"/>
  <c r="D52" i="9"/>
  <c r="D49" i="9"/>
  <c r="D46" i="9"/>
  <c r="C58" i="9"/>
  <c r="C55" i="9"/>
  <c r="C52" i="9"/>
  <c r="C49" i="9"/>
  <c r="C46" i="9"/>
  <c r="G7" i="9"/>
  <c r="G6" i="9"/>
  <c r="H31" i="9"/>
  <c r="H30" i="9"/>
  <c r="H27" i="9"/>
  <c r="H26" i="9"/>
  <c r="H25" i="9"/>
  <c r="D35" i="9"/>
  <c r="D34" i="9"/>
  <c r="D36" i="9"/>
  <c r="D23" i="9"/>
  <c r="C7" i="9"/>
  <c r="C6" i="9"/>
  <c r="B28" i="2"/>
  <c r="C28" i="9" l="1"/>
  <c r="C54" i="2"/>
  <c r="BG34" i="3"/>
  <c r="BG35" i="3" s="1"/>
  <c r="BG36" i="3" s="1"/>
  <c r="D58" i="3"/>
  <c r="D55" i="3"/>
  <c r="BI9" i="3"/>
  <c r="BH19" i="3"/>
  <c r="K9" i="14"/>
  <c r="J29" i="3"/>
  <c r="C20" i="9"/>
  <c r="G20" i="9"/>
  <c r="C38" i="2"/>
  <c r="C39" i="2" s="1"/>
  <c r="C46" i="2" s="1"/>
  <c r="G30" i="9" l="1"/>
  <c r="C55" i="2"/>
  <c r="G31" i="9" s="1"/>
  <c r="BH34" i="3"/>
  <c r="BH35" i="3" s="1"/>
  <c r="BH36" i="3" s="1"/>
  <c r="BI19" i="3"/>
  <c r="BJ9" i="3"/>
  <c r="J38" i="3"/>
  <c r="L9" i="14"/>
  <c r="K29" i="3"/>
  <c r="K38" i="3" s="1"/>
  <c r="E40" i="3"/>
  <c r="E42" i="3" s="1"/>
  <c r="D64" i="3" s="1"/>
  <c r="F40" i="3"/>
  <c r="F42" i="3" s="1"/>
  <c r="F55" i="3" s="1"/>
  <c r="C40" i="2"/>
  <c r="C41" i="2" s="1"/>
  <c r="G22" i="9"/>
  <c r="G21" i="9"/>
  <c r="D66" i="3" l="1"/>
  <c r="C23" i="9"/>
  <c r="BI34" i="3"/>
  <c r="BI35" i="3" s="1"/>
  <c r="BI36" i="3" s="1"/>
  <c r="BK9" i="3"/>
  <c r="BJ19" i="3"/>
  <c r="E52" i="3"/>
  <c r="E55" i="3"/>
  <c r="M9" i="14"/>
  <c r="L29" i="3"/>
  <c r="G40" i="3"/>
  <c r="G42" i="3" s="1"/>
  <c r="G55" i="3" s="1"/>
  <c r="F58" i="3"/>
  <c r="F52" i="3"/>
  <c r="E58" i="3"/>
  <c r="C26" i="9"/>
  <c r="BJ34" i="3" l="1"/>
  <c r="BJ35" i="3" s="1"/>
  <c r="BJ36" i="3" s="1"/>
  <c r="BK19" i="3"/>
  <c r="BL9" i="3"/>
  <c r="L38" i="3"/>
  <c r="N9" i="14"/>
  <c r="M29" i="3"/>
  <c r="G58" i="3"/>
  <c r="G52" i="3"/>
  <c r="BK34" i="3" l="1"/>
  <c r="BK35" i="3" s="1"/>
  <c r="BK36" i="3" s="1"/>
  <c r="BL19" i="3"/>
  <c r="M38" i="3"/>
  <c r="O9" i="14"/>
  <c r="N29" i="3"/>
  <c r="H40" i="3"/>
  <c r="H42" i="3" s="1"/>
  <c r="BL34" i="3" l="1"/>
  <c r="BL35" i="3" s="1"/>
  <c r="BL36" i="3" s="1"/>
  <c r="H55" i="3"/>
  <c r="N38" i="3"/>
  <c r="H52" i="3"/>
  <c r="P9" i="14"/>
  <c r="O29" i="3"/>
  <c r="H58" i="3"/>
  <c r="I40" i="3"/>
  <c r="I42" i="3" s="1"/>
  <c r="J40" i="3"/>
  <c r="J42" i="3" s="1"/>
  <c r="J55" i="3" s="1"/>
  <c r="I55" i="3" l="1"/>
  <c r="O38" i="3"/>
  <c r="Q9" i="14"/>
  <c r="P29" i="3"/>
  <c r="I58" i="3"/>
  <c r="I52" i="3"/>
  <c r="K40" i="3"/>
  <c r="K42" i="3" s="1"/>
  <c r="K55" i="3" s="1"/>
  <c r="J58" i="3"/>
  <c r="J52" i="3"/>
  <c r="P38" i="3" l="1"/>
  <c r="R9" i="14"/>
  <c r="Q29" i="3"/>
  <c r="Q38" i="3" s="1"/>
  <c r="L40" i="3"/>
  <c r="L42" i="3" s="1"/>
  <c r="L55" i="3" s="1"/>
  <c r="K52" i="3"/>
  <c r="K58" i="3"/>
  <c r="S9" i="14" l="1"/>
  <c r="R29" i="3"/>
  <c r="M40" i="3"/>
  <c r="M42" i="3" s="1"/>
  <c r="M55" i="3" s="1"/>
  <c r="L58" i="3"/>
  <c r="L52" i="3"/>
  <c r="R38" i="3" l="1"/>
  <c r="T9" i="14"/>
  <c r="S29" i="3"/>
  <c r="S38" i="3" s="1"/>
  <c r="M52" i="3"/>
  <c r="N40" i="3"/>
  <c r="N42" i="3" s="1"/>
  <c r="D67" i="3" s="1"/>
  <c r="M58" i="3"/>
  <c r="N55" i="3" l="1"/>
  <c r="U9" i="14"/>
  <c r="T29" i="3"/>
  <c r="N58" i="3"/>
  <c r="O40" i="3"/>
  <c r="O42" i="3" s="1"/>
  <c r="O55" i="3" s="1"/>
  <c r="N52" i="3"/>
  <c r="T38" i="3" l="1"/>
  <c r="V9" i="14"/>
  <c r="U29" i="3"/>
  <c r="P40" i="3"/>
  <c r="P42" i="3" s="1"/>
  <c r="P55" i="3" s="1"/>
  <c r="O52" i="3"/>
  <c r="O58" i="3"/>
  <c r="U38" i="3" l="1"/>
  <c r="W9" i="14"/>
  <c r="V29" i="3"/>
  <c r="P58" i="3"/>
  <c r="Q40" i="3"/>
  <c r="Q42" i="3" s="1"/>
  <c r="Q55" i="3" s="1"/>
  <c r="P52" i="3"/>
  <c r="V38" i="3" l="1"/>
  <c r="X9" i="14"/>
  <c r="W29" i="3"/>
  <c r="Q52" i="3"/>
  <c r="R40" i="3"/>
  <c r="R42" i="3" s="1"/>
  <c r="R55" i="3" s="1"/>
  <c r="Q58" i="3"/>
  <c r="R58" i="3" l="1"/>
  <c r="W38" i="3"/>
  <c r="Y9" i="14"/>
  <c r="X29" i="3"/>
  <c r="S40" i="3"/>
  <c r="S42" i="3" s="1"/>
  <c r="R52" i="3"/>
  <c r="S55" i="3" l="1"/>
  <c r="S58" i="3"/>
  <c r="D59" i="3" s="1"/>
  <c r="D63" i="3" s="1"/>
  <c r="X38" i="3"/>
  <c r="Z9" i="14"/>
  <c r="Y29" i="3"/>
  <c r="T40" i="3"/>
  <c r="T42" i="3" s="1"/>
  <c r="T52" i="3" s="1"/>
  <c r="S52" i="3"/>
  <c r="U40" i="3"/>
  <c r="C59" i="8" l="1"/>
  <c r="Y38" i="3"/>
  <c r="AA9" i="14"/>
  <c r="Z29" i="3"/>
  <c r="V40" i="3"/>
  <c r="U42" i="3"/>
  <c r="U52" i="3" s="1"/>
  <c r="C36" i="9" l="1"/>
  <c r="Z38" i="3"/>
  <c r="AB9" i="14"/>
  <c r="AA29" i="3"/>
  <c r="W40" i="3"/>
  <c r="V42" i="3"/>
  <c r="V52" i="3" s="1"/>
  <c r="AA38" i="3" l="1"/>
  <c r="AC9" i="14"/>
  <c r="AB29" i="3"/>
  <c r="AB38" i="3" s="1"/>
  <c r="X40" i="3"/>
  <c r="W42" i="3"/>
  <c r="W52" i="3" s="1"/>
  <c r="AD9" i="14" l="1"/>
  <c r="AC29" i="3"/>
  <c r="AC38" i="3" s="1"/>
  <c r="Y40" i="3"/>
  <c r="X42" i="3"/>
  <c r="X52" i="3" s="1"/>
  <c r="AE9" i="14" l="1"/>
  <c r="AD29" i="3"/>
  <c r="AD38" i="3" s="1"/>
  <c r="Z40" i="3"/>
  <c r="Y42" i="3"/>
  <c r="Y52" i="3" s="1"/>
  <c r="AF9" i="14" l="1"/>
  <c r="AE29" i="3"/>
  <c r="AE38" i="3" s="1"/>
  <c r="AA40" i="3"/>
  <c r="Z42" i="3"/>
  <c r="Z52" i="3" s="1"/>
  <c r="AG9" i="14" l="1"/>
  <c r="AF29" i="3"/>
  <c r="AB40" i="3"/>
  <c r="AA42" i="3"/>
  <c r="AF38" i="3" l="1"/>
  <c r="AH9" i="14"/>
  <c r="AG29" i="3"/>
  <c r="AA52" i="3"/>
  <c r="AC40" i="3"/>
  <c r="AB42" i="3"/>
  <c r="AB52" i="3" s="1"/>
  <c r="AG38" i="3" l="1"/>
  <c r="AI9" i="14"/>
  <c r="AH29" i="3"/>
  <c r="AD40" i="3"/>
  <c r="AC42" i="3"/>
  <c r="AH38" i="3" l="1"/>
  <c r="AJ9" i="14"/>
  <c r="AI29" i="3"/>
  <c r="AC52" i="3"/>
  <c r="AE40" i="3"/>
  <c r="AD42" i="3"/>
  <c r="AI38" i="3" l="1"/>
  <c r="AK9" i="14"/>
  <c r="AJ29" i="3"/>
  <c r="AD52" i="3"/>
  <c r="AF40" i="3"/>
  <c r="AE42" i="3"/>
  <c r="AJ38" i="3" l="1"/>
  <c r="AL9" i="14"/>
  <c r="AK29" i="3"/>
  <c r="AE52" i="3"/>
  <c r="AG40" i="3"/>
  <c r="AF42" i="3"/>
  <c r="AK38" i="3" l="1"/>
  <c r="AM9" i="14"/>
  <c r="AL29" i="3"/>
  <c r="AF52" i="3"/>
  <c r="AH40" i="3"/>
  <c r="AG42" i="3"/>
  <c r="AG52" i="3" s="1"/>
  <c r="AL38" i="3" l="1"/>
  <c r="AN9" i="14"/>
  <c r="AM29" i="3"/>
  <c r="AI40" i="3"/>
  <c r="AH42" i="3"/>
  <c r="AH52" i="3" s="1"/>
  <c r="AM38" i="3" l="1"/>
  <c r="AO9" i="14"/>
  <c r="AN29" i="3"/>
  <c r="AN38" i="3" s="1"/>
  <c r="AJ40" i="3"/>
  <c r="AI42" i="3"/>
  <c r="AP9" i="14" l="1"/>
  <c r="AO29" i="3"/>
  <c r="AO38" i="3" s="1"/>
  <c r="AI52" i="3"/>
  <c r="AK40" i="3"/>
  <c r="AJ42" i="3"/>
  <c r="AQ9" i="14" l="1"/>
  <c r="AP29" i="3"/>
  <c r="AJ52" i="3"/>
  <c r="AL40" i="3"/>
  <c r="AK42" i="3"/>
  <c r="AP38" i="3" l="1"/>
  <c r="AR9" i="14"/>
  <c r="AQ29" i="3"/>
  <c r="AK52" i="3"/>
  <c r="AM40" i="3"/>
  <c r="AL42" i="3"/>
  <c r="AQ38" i="3" l="1"/>
  <c r="AS9" i="14"/>
  <c r="AR29" i="3"/>
  <c r="AR38" i="3" s="1"/>
  <c r="AL52" i="3"/>
  <c r="AN40" i="3"/>
  <c r="AM42" i="3"/>
  <c r="AT9" i="14" l="1"/>
  <c r="AS29" i="3"/>
  <c r="AM52" i="3"/>
  <c r="AO40" i="3"/>
  <c r="AN42" i="3"/>
  <c r="AS38" i="3" l="1"/>
  <c r="AU9" i="14"/>
  <c r="AT29" i="3"/>
  <c r="AT38" i="3" s="1"/>
  <c r="AN52" i="3"/>
  <c r="AP40" i="3"/>
  <c r="AO42" i="3"/>
  <c r="AO52" i="3" s="1"/>
  <c r="AV9" i="14" l="1"/>
  <c r="AU29" i="3"/>
  <c r="AQ40" i="3"/>
  <c r="AP42" i="3"/>
  <c r="AP52" i="3" s="1"/>
  <c r="AU38" i="3" l="1"/>
  <c r="AW9" i="14"/>
  <c r="AV29" i="3"/>
  <c r="AR40" i="3"/>
  <c r="AQ42" i="3"/>
  <c r="AQ52" i="3" s="1"/>
  <c r="AV38" i="3" l="1"/>
  <c r="AX9" i="14"/>
  <c r="AW29" i="3"/>
  <c r="AS40" i="3"/>
  <c r="AR42" i="3"/>
  <c r="AW38" i="3" l="1"/>
  <c r="AY9" i="14"/>
  <c r="AX29" i="3"/>
  <c r="AX38" i="3" s="1"/>
  <c r="AR52" i="3"/>
  <c r="AT40" i="3"/>
  <c r="AS42" i="3"/>
  <c r="AS52" i="3" s="1"/>
  <c r="AZ9" i="14" l="1"/>
  <c r="AY29" i="3"/>
  <c r="AY38" i="3" s="1"/>
  <c r="AU40" i="3"/>
  <c r="AT42" i="3"/>
  <c r="AT52" i="3" s="1"/>
  <c r="BA9" i="14" l="1"/>
  <c r="AZ29" i="3"/>
  <c r="AV40" i="3"/>
  <c r="AU42" i="3"/>
  <c r="AU52" i="3" s="1"/>
  <c r="AZ38" i="3" l="1"/>
  <c r="BB9" i="14"/>
  <c r="BA29" i="3"/>
  <c r="BA38" i="3" s="1"/>
  <c r="AW40" i="3"/>
  <c r="AV42" i="3"/>
  <c r="BC9" i="14" l="1"/>
  <c r="BB29" i="3"/>
  <c r="BB38" i="3" s="1"/>
  <c r="AV52" i="3"/>
  <c r="AX40" i="3"/>
  <c r="AW42" i="3"/>
  <c r="AW52" i="3" s="1"/>
  <c r="BD9" i="14" l="1"/>
  <c r="BC29" i="3"/>
  <c r="AY40" i="3"/>
  <c r="AX42" i="3"/>
  <c r="BC38" i="3" l="1"/>
  <c r="BE9" i="14"/>
  <c r="BD29" i="3"/>
  <c r="AX52" i="3"/>
  <c r="AZ40" i="3"/>
  <c r="AY42" i="3"/>
  <c r="BD38" i="3" l="1"/>
  <c r="BF9" i="14"/>
  <c r="BE29" i="3"/>
  <c r="BA40" i="3"/>
  <c r="AZ42" i="3"/>
  <c r="AZ52" i="3" s="1"/>
  <c r="AY52" i="3"/>
  <c r="BE38" i="3" l="1"/>
  <c r="BG9" i="14"/>
  <c r="BF29" i="3"/>
  <c r="BF38" i="3" s="1"/>
  <c r="BB40" i="3"/>
  <c r="BA42" i="3"/>
  <c r="BA52" i="3" s="1"/>
  <c r="BH9" i="14" l="1"/>
  <c r="BG29" i="3"/>
  <c r="BB42" i="3"/>
  <c r="BC40" i="3"/>
  <c r="BG38" i="3" l="1"/>
  <c r="BI9" i="14"/>
  <c r="BH29" i="3"/>
  <c r="BB52" i="3"/>
  <c r="BD40" i="3"/>
  <c r="BC42" i="3"/>
  <c r="BC52" i="3" s="1"/>
  <c r="BH38" i="3" l="1"/>
  <c r="BJ9" i="14"/>
  <c r="BI29" i="3"/>
  <c r="BE40" i="3"/>
  <c r="BD42" i="3"/>
  <c r="BD52" i="3" s="1"/>
  <c r="BI38" i="3" l="1"/>
  <c r="BK9" i="14"/>
  <c r="BJ29" i="3"/>
  <c r="BF40" i="3"/>
  <c r="BE42" i="3"/>
  <c r="BJ38" i="3" l="1"/>
  <c r="BL9" i="14"/>
  <c r="BL29" i="3" s="1"/>
  <c r="BK29" i="3"/>
  <c r="BE52" i="3"/>
  <c r="BG40" i="3"/>
  <c r="BF42" i="3"/>
  <c r="BF52" i="3" s="1"/>
  <c r="BL38" i="3" l="1"/>
  <c r="BK38" i="3"/>
  <c r="BH40" i="3"/>
  <c r="BG42" i="3"/>
  <c r="BI40" i="3" l="1"/>
  <c r="BH42" i="3"/>
  <c r="BH52" i="3" s="1"/>
  <c r="BG52" i="3"/>
  <c r="BJ40" i="3" l="1"/>
  <c r="BI42" i="3"/>
  <c r="BI52" i="3" l="1"/>
  <c r="BK40" i="3"/>
  <c r="BJ42" i="3"/>
  <c r="BJ52" i="3" s="1"/>
  <c r="BK42" i="3" l="1"/>
  <c r="BL40" i="3" l="1"/>
  <c r="BL42" i="3" s="1"/>
  <c r="BK52" i="3"/>
  <c r="D45" i="3" l="1"/>
  <c r="BL52" i="3"/>
  <c r="D53" i="3" s="1"/>
  <c r="D61" i="3" s="1"/>
  <c r="C57" i="8" l="1"/>
  <c r="C34" i="9" s="1"/>
  <c r="C51" i="8"/>
  <c r="E45" i="3"/>
  <c r="C52" i="8" l="1"/>
  <c r="F45" i="3"/>
  <c r="G45" i="3" s="1"/>
  <c r="H45" i="3" s="1"/>
  <c r="I45" i="3" s="1"/>
  <c r="J45" i="3" s="1"/>
  <c r="K45" i="3" s="1"/>
  <c r="L45" i="3" s="1"/>
  <c r="M45" i="3" s="1"/>
  <c r="N45" i="3" s="1"/>
  <c r="O45" i="3" s="1"/>
  <c r="P45" i="3" s="1"/>
  <c r="Q45" i="3" s="1"/>
  <c r="R45" i="3" s="1"/>
  <c r="S45" i="3" s="1"/>
  <c r="T55" i="3" s="1"/>
  <c r="D56" i="3" s="1"/>
  <c r="D62" i="3" s="1"/>
  <c r="C29" i="9" l="1"/>
  <c r="C54" i="8"/>
  <c r="C31" i="9" s="1"/>
  <c r="C58" i="8"/>
  <c r="C35" i="9" l="1"/>
  <c r="BL7"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<sst xmlns="http://schemas.openxmlformats.org/spreadsheetml/2006/main" count="470" uniqueCount="222">
  <si>
    <t>Woningcorporatie</t>
  </si>
  <si>
    <t>Ontwikkelaar</t>
  </si>
  <si>
    <t>Naam corporatie</t>
  </si>
  <si>
    <t>Naam ontwikkelaar</t>
  </si>
  <si>
    <t>Datum invoer</t>
  </si>
  <si>
    <t>Projectkenmerken</t>
  </si>
  <si>
    <t>Projectnaam</t>
  </si>
  <si>
    <t>Aantal woningen (totaal in project)</t>
  </si>
  <si>
    <t>Type object</t>
  </si>
  <si>
    <t>Financieel</t>
  </si>
  <si>
    <t>Kostenoverzicht (totaal project) (incl. BTW)</t>
  </si>
  <si>
    <t>Toelichting</t>
  </si>
  <si>
    <t>Verkoopopbrengsten (incl. BTW)</t>
  </si>
  <si>
    <t>Kosten aan ontwikkelaar</t>
  </si>
  <si>
    <t>Inbrengwaarde</t>
  </si>
  <si>
    <t>Resultaat (excl. BTW)</t>
  </si>
  <si>
    <t>Totale stichtingskosten</t>
  </si>
  <si>
    <t>Marktconformiteit</t>
  </si>
  <si>
    <t>Ratio investering / leegwaarde</t>
  </si>
  <si>
    <t>Verkoopprijs (excl. BTW)</t>
  </si>
  <si>
    <t>Vermogenseffect (ORT)</t>
  </si>
  <si>
    <t>ORT marktwaarde</t>
  </si>
  <si>
    <t>ORT marktwaarde in %</t>
  </si>
  <si>
    <t>ORT beleidswaarde</t>
  </si>
  <si>
    <t>ORT beleidswaarde in %</t>
  </si>
  <si>
    <t>Grondkosten (excl. BTW)</t>
  </si>
  <si>
    <t>Rendement</t>
  </si>
  <si>
    <t>IRR 60 jaar (geen eindwaarde)</t>
  </si>
  <si>
    <t>IRR 15 jaar (eindwaarde = BW)</t>
  </si>
  <si>
    <t>Bouwkosten (excl. BTW)</t>
  </si>
  <si>
    <t>IRR 15 jaar (eindwaarde = MW)</t>
  </si>
  <si>
    <t>Bijkomende kosten (excl. BTW)</t>
  </si>
  <si>
    <t>Maatschappelijke overwegingen en Proces</t>
  </si>
  <si>
    <t>Volkshuisvestelijke thema's</t>
  </si>
  <si>
    <t>Prioritering</t>
  </si>
  <si>
    <t>Maatschappelijk thema</t>
  </si>
  <si>
    <t>Beschikbaarheid</t>
  </si>
  <si>
    <t>Duurzaamheid</t>
  </si>
  <si>
    <t>Kwaliteit</t>
  </si>
  <si>
    <t>Leefbaarheid</t>
  </si>
  <si>
    <t>Betaalbaarheid</t>
  </si>
  <si>
    <t xml:space="preserve">Besluitvorming en risico's </t>
  </si>
  <si>
    <t>Besluitvorming &amp; risico's</t>
  </si>
  <si>
    <t>Besluitvorming</t>
  </si>
  <si>
    <t>Risico aspecten</t>
  </si>
  <si>
    <t>Externe overwegingen</t>
  </si>
  <si>
    <t>Afspraken met de gemeente</t>
  </si>
  <si>
    <t>Afspraken met huurderverenigingen</t>
  </si>
  <si>
    <t>Afspraken met overige belanghebbende</t>
  </si>
  <si>
    <t>Algemeen</t>
  </si>
  <si>
    <t>Naam woningcorporatie</t>
  </si>
  <si>
    <t>Corporatie A</t>
  </si>
  <si>
    <t>Type woning</t>
  </si>
  <si>
    <t>Sociale huurwoningen</t>
  </si>
  <si>
    <t>Input - Financieel</t>
  </si>
  <si>
    <t>Input - Maatschappelijke overwegingen en Proces</t>
  </si>
  <si>
    <t>Kenmerken project (per woning)</t>
  </si>
  <si>
    <t>Volkshuisvestelijk thema</t>
  </si>
  <si>
    <t>WWS punten</t>
  </si>
  <si>
    <t>[open invulling]</t>
  </si>
  <si>
    <t>[-]</t>
  </si>
  <si>
    <t>Segment</t>
  </si>
  <si>
    <t>DAEB of Niet-DAEB</t>
  </si>
  <si>
    <t>DAEB</t>
  </si>
  <si>
    <t>Maandelijkse contracthuur</t>
  </si>
  <si>
    <t>Maandelijkse streefhuur</t>
  </si>
  <si>
    <t>Beheerkosten conform beleid</t>
  </si>
  <si>
    <t>Indicatie beheernorm</t>
  </si>
  <si>
    <t>Gemiddeld onderhoud over 60 jaar</t>
  </si>
  <si>
    <t>Leegwaarde (per woning)</t>
  </si>
  <si>
    <t>Leegwaarde</t>
  </si>
  <si>
    <t>Marktwaarde verhuurde staat (per woning)</t>
  </si>
  <si>
    <t>Marktwaarde</t>
  </si>
  <si>
    <t>Kostenoverzicht (totaal project)</t>
  </si>
  <si>
    <t>Totale stichtingskosten (inclusief BTW)</t>
  </si>
  <si>
    <t>Output kengetallen - Corporatie</t>
  </si>
  <si>
    <t>Marktconformiteit (totaal project)</t>
  </si>
  <si>
    <t>Totale investering</t>
  </si>
  <si>
    <t>Totale leegwaarde (prijspeil xxx)</t>
  </si>
  <si>
    <t>Ratio investering (excl. btw)  / leegwaarde</t>
  </si>
  <si>
    <t>Beleidswaarde</t>
  </si>
  <si>
    <t>Onderhoudsnorm (per woning)</t>
  </si>
  <si>
    <t>Onderhoudsnorm 60 jaar (per woning)</t>
  </si>
  <si>
    <t>Nominale onderhoudskosten per woning</t>
  </si>
  <si>
    <t>Factor t.b.v. indexatie</t>
  </si>
  <si>
    <t>Indicatie onderhoud conform beleid</t>
  </si>
  <si>
    <t>Check alle jaren correct gevuld zijn:</t>
  </si>
  <si>
    <t>Ontwikkelaar A</t>
  </si>
  <si>
    <t>Kenmerken woning</t>
  </si>
  <si>
    <t>Maatschappelijk</t>
  </si>
  <si>
    <r>
      <t>Bruto vloeroppervlak per woning (m</t>
    </r>
    <r>
      <rPr>
        <sz val="11"/>
        <color theme="1"/>
        <rFont val="Aptos Narrow"/>
        <family val="2"/>
      </rPr>
      <t>²</t>
    </r>
    <r>
      <rPr>
        <sz val="11"/>
        <color theme="1"/>
        <rFont val="Calibri"/>
        <family val="2"/>
        <scheme val="minor"/>
      </rPr>
      <t>)</t>
    </r>
  </si>
  <si>
    <t>Co2-reductie</t>
  </si>
  <si>
    <r>
      <t>Bruto gebruiksoppervlak per woning (m</t>
    </r>
    <r>
      <rPr>
        <sz val="11"/>
        <color theme="1"/>
        <rFont val="Aptos Narrow"/>
        <family val="2"/>
      </rPr>
      <t>²</t>
    </r>
    <r>
      <rPr>
        <sz val="11"/>
        <color theme="1"/>
        <rFont val="Calibri"/>
        <family val="2"/>
        <scheme val="minor"/>
      </rPr>
      <t>)</t>
    </r>
  </si>
  <si>
    <t>Verkoopopbrengsten (totaal)</t>
  </si>
  <si>
    <t>Subsidies</t>
  </si>
  <si>
    <t>Overige opbrengsten</t>
  </si>
  <si>
    <t>Aandeel sociaal in totaal</t>
  </si>
  <si>
    <t>Totaal opbrengsten (excl. BTW)</t>
  </si>
  <si>
    <t>Versterken van gemeenschap</t>
  </si>
  <si>
    <t>Kies type berekening grondkosten</t>
  </si>
  <si>
    <t>Volledige GREX</t>
  </si>
  <si>
    <t>Totaal GREX</t>
  </si>
  <si>
    <t>Bouwkosten</t>
  </si>
  <si>
    <t>Bijkomende kosten</t>
  </si>
  <si>
    <t>Algemene kosten</t>
  </si>
  <si>
    <t>Financieringskosten</t>
  </si>
  <si>
    <t xml:space="preserve">Totaal VEX </t>
  </si>
  <si>
    <t>Gewenste opslag Winst en Risico (%)</t>
  </si>
  <si>
    <t>Gewenste opslag Winst en Risico (absoluut)</t>
  </si>
  <si>
    <t>Totaal kosten (excl. BTW)</t>
  </si>
  <si>
    <t>BTW (21%)</t>
  </si>
  <si>
    <t>Totaal kosten (incl. BTW)</t>
  </si>
  <si>
    <t>Output kengetallen - Ontwikkelaar</t>
  </si>
  <si>
    <t>Resultaat</t>
  </si>
  <si>
    <t>Saldo kosten &amp; opbrengsten</t>
  </si>
  <si>
    <t>Verkoopprijs per woning</t>
  </si>
  <si>
    <t>Verkoopprijs per m² bruto vloeroppervlak</t>
  </si>
  <si>
    <t>Verkoopprijs per m² bruto gebruiksoppervlak</t>
  </si>
  <si>
    <t>Grondkosten per woning</t>
  </si>
  <si>
    <t>Grondquote</t>
  </si>
  <si>
    <t>Bouwkosten per woning</t>
  </si>
  <si>
    <t>Bouwkosten per m² bruto vloeroppervlak</t>
  </si>
  <si>
    <t>Bouwkosten per m² gebruiksoppervlak</t>
  </si>
  <si>
    <t>Bijkomende kosten per woning</t>
  </si>
  <si>
    <t>Bijkomende kosten per m² bruto vloeroppervlak</t>
  </si>
  <si>
    <t>Bijkomende kosten per m² bruto gebruiksoppervlak</t>
  </si>
  <si>
    <t>GREX</t>
  </si>
  <si>
    <t>Totaal GREX-kosten incl. inbrengwaarde</t>
  </si>
  <si>
    <t xml:space="preserve">Berekeningen </t>
  </si>
  <si>
    <t>Hulpberekeningen</t>
  </si>
  <si>
    <t>Ontwikkeling huurbedragen</t>
  </si>
  <si>
    <t>Streefhuur gereguleerd laagsegment</t>
  </si>
  <si>
    <t>Streefhuur gereguleerd middensegment</t>
  </si>
  <si>
    <t>Maximaal redelijke huur</t>
  </si>
  <si>
    <t>Ontwikkeling contracthuur</t>
  </si>
  <si>
    <t>Gereguleerd, laagsegment</t>
  </si>
  <si>
    <t>Gereguleerd, middensegment</t>
  </si>
  <si>
    <t>Geliberaliseerd</t>
  </si>
  <si>
    <t>Ontwikkeling streefhuur</t>
  </si>
  <si>
    <t>Gereguleerd laagsegment</t>
  </si>
  <si>
    <t>Gereguleerd middensegment</t>
  </si>
  <si>
    <t>Ontwikkeling aantal woningen</t>
  </si>
  <si>
    <t>Aantal contracthuur</t>
  </si>
  <si>
    <t>Aantal geharmoniseerd</t>
  </si>
  <si>
    <t>Totaal aantal</t>
  </si>
  <si>
    <t>Ontwikkeling kosten</t>
  </si>
  <si>
    <t>Onderhoudskosten</t>
  </si>
  <si>
    <t>Beheerkosten</t>
  </si>
  <si>
    <t>Kasstromen (medio)</t>
  </si>
  <si>
    <t>Huur lopende contracten</t>
  </si>
  <si>
    <t>Huur nieuwe contracten</t>
  </si>
  <si>
    <t>Huurderving</t>
  </si>
  <si>
    <t>Inkomsten</t>
  </si>
  <si>
    <t>Uitgaven</t>
  </si>
  <si>
    <t>Saldo exploitatiekasstromen</t>
  </si>
  <si>
    <t>Waardering en waardeontwikkeling (ultimo)</t>
  </si>
  <si>
    <t>Ontwikkeling BW</t>
  </si>
  <si>
    <t>Ontwikkeling MW</t>
  </si>
  <si>
    <t>Rendementen</t>
  </si>
  <si>
    <t>60 jr BW kasstromen</t>
  </si>
  <si>
    <t xml:space="preserve">Kasstromen </t>
  </si>
  <si>
    <t>IRR</t>
  </si>
  <si>
    <t>15 jr BW kasstromen + EW o.b.v. BW</t>
  </si>
  <si>
    <t>15 jr BW kasstromen + EW o.b.v. MW</t>
  </si>
  <si>
    <t>Bruto / netto</t>
  </si>
  <si>
    <t>BAR</t>
  </si>
  <si>
    <t>NAR</t>
  </si>
  <si>
    <t>Direct rendement (10 jr)</t>
  </si>
  <si>
    <t>Uitgangspunten</t>
  </si>
  <si>
    <t>Variabelen</t>
  </si>
  <si>
    <t>Prijspeil  model</t>
  </si>
  <si>
    <t>Mutatiegraad</t>
  </si>
  <si>
    <t>BTW</t>
  </si>
  <si>
    <t>&lt; WWS punten gereguleerd laag segment</t>
  </si>
  <si>
    <t>&gt; WWS punten geliberaliseerd</t>
  </si>
  <si>
    <t>Parameters handboek 2024, versie 25-10-2024</t>
  </si>
  <si>
    <t xml:space="preserve">Indices </t>
  </si>
  <si>
    <t>2029 e.v.</t>
  </si>
  <si>
    <t>Prijsinflatie (CPI)</t>
  </si>
  <si>
    <t>Loonontwikkeling</t>
  </si>
  <si>
    <t>Huurontwikkeling (gereguleerd, laagsegment)</t>
  </si>
  <si>
    <t>Huurontwikkeling (gereguleerd, middensegment)</t>
  </si>
  <si>
    <t>Huurontwikkeling (geliberaliseerd)</t>
  </si>
  <si>
    <t>Bouwkostenontwikkeling</t>
  </si>
  <si>
    <t>Overige</t>
  </si>
  <si>
    <t>Disconteringsvoet DAEB</t>
  </si>
  <si>
    <t>Disconteringsvoet niet-DAEB</t>
  </si>
  <si>
    <t>Leidraad economische parameters dPi 2024</t>
  </si>
  <si>
    <t>Autonome ontwikkeling marktwaarde</t>
  </si>
  <si>
    <t>Autonome ontwikkeling beidswaarde</t>
  </si>
  <si>
    <t>Maximale huurprijsgrenzen voor zelfstandige woningen per 1 januari 2025</t>
  </si>
  <si>
    <t>Max. redelijke huur</t>
  </si>
  <si>
    <t>&lt;0</t>
  </si>
  <si>
    <t>Bron: Volkshuisvesting Nederland</t>
  </si>
  <si>
    <t>Hulptabellen t.b.v. dropdowns</t>
  </si>
  <si>
    <t>Grondkosten/GREX</t>
  </si>
  <si>
    <t>Grondkosten (simpel)</t>
  </si>
  <si>
    <t>★</t>
  </si>
  <si>
    <t>★★</t>
  </si>
  <si>
    <t>★★★</t>
  </si>
  <si>
    <t>★★★★</t>
  </si>
  <si>
    <t>★★★★★</t>
  </si>
  <si>
    <t>Niet-DAEB</t>
  </si>
  <si>
    <t>Hoofdkleur</t>
  </si>
  <si>
    <t>Secundaire kleu</t>
  </si>
  <si>
    <t>Tertiair</t>
  </si>
  <si>
    <t>Kleur invultekst</t>
  </si>
  <si>
    <t>in % van totale investering</t>
  </si>
  <si>
    <t>ORT beleidswaarde in €</t>
  </si>
  <si>
    <t>ORT marktwaarde in €</t>
  </si>
  <si>
    <t>[…]</t>
  </si>
  <si>
    <t>Zie tab onderhoud</t>
  </si>
  <si>
    <t>Opbrengsten (totaal project excl. BTW)</t>
  </si>
  <si>
    <t>Kosten (totaal project excl. BTW)</t>
  </si>
  <si>
    <t xml:space="preserve">     Werkwijze</t>
  </si>
  <si>
    <t xml:space="preserve">     Introductie</t>
  </si>
  <si>
    <t xml:space="preserve">     Opbouw</t>
  </si>
  <si>
    <t>Afspraken met overige belanghebbenden</t>
  </si>
  <si>
    <t>ORT marktwaarde in € per woning</t>
  </si>
  <si>
    <t>ORT beleidswaarde in € per woning</t>
  </si>
  <si>
    <t>ORT marktwaarde per woning</t>
  </si>
  <si>
    <t>ORT beleidswaarde per woning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</si>
</sst>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413]d/mmm/yy;@"/>
    <numFmt numFmtId="165" formatCode="_ &quot;€&quot;\ * #,##0_ ;_ &quot;€&quot;\ * \-#,##0_ ;_ &quot;€&quot;\ * &quot;-&quot;??_ ;_ @_ "/>
    <numFmt numFmtId="166" formatCode="&quot;€&quot;\ #,##0"/>
    <numFmt numFmtId="167" formatCode="&quot;€&quot;\ #,##0.00"/>
    <numFmt numFmtId="168" formatCode="0.0%"/>
    <numFmt numFmtId="169" formatCode="_ * #,##0_ ;_ * \-#,##0_ ;_ * &quot;-&quot;??_ ;_ @_ "/>
    <numFmt numFmtId="170" formatCode="&quot;€&quot;\ #,##0.0"/>
    <numFmt numFmtId="171" formatCode="#,##0;\-#,##0;;@"/>
  </numFmts>
  <fonts count="38">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b/>
      <sz val="11"/>
      <color rgb="FFFFFFFF"/>
      <name val="Calibri"/>
      <family val="2"/>
    </font>
    <font>
      <sz val="11"/>
      <color theme="1"/>
      <name val="Calibri"/>
      <family val="2"/>
    </font>
    <font>
      <i/>
      <sz val="11"/>
      <color theme="1"/>
      <name val="Calibri"/>
      <family val="2"/>
      <scheme val="minor"/>
    </font>
    <font>
      <sz val="11"/>
      <name val="Calibri"/>
      <family val="2"/>
      <scheme val="minor"/>
    </font>
    <font>
      <i/>
      <sz val="11"/>
      <color theme="2" tint="-0.499984740745262"/>
      <name val="Calibri"/>
      <family val="2"/>
      <scheme val="minor"/>
    </font>
    <font>
      <i/>
      <sz val="11"/>
      <color rgb="FF0000FF"/>
      <name val="Calibri"/>
      <family val="2"/>
      <scheme val="minor"/>
    </font>
    <font>
      <u/>
      <sz val="11"/>
      <color theme="10"/>
      <name val="Calibri"/>
      <family val="2"/>
      <scheme val="minor"/>
    </font>
    <font>
      <b/>
      <sz val="11"/>
      <color theme="0"/>
      <name val="Calibri"/>
      <family val="2"/>
      <scheme val="minor"/>
    </font>
    <font>
      <b/>
      <sz val="16"/>
      <color rgb="FF0000FF"/>
      <name val="Calibri"/>
      <family val="2"/>
      <scheme val="minor"/>
    </font>
    <font>
      <b/>
      <sz val="14"/>
      <color rgb="FFFFFFFF"/>
      <name val="Calibri"/>
      <family val="2"/>
    </font>
    <font>
      <b/>
      <sz val="16"/>
      <name val="Calibri"/>
      <family val="2"/>
      <scheme val="minor"/>
    </font>
    <font>
      <sz val="11"/>
      <color theme="1"/>
      <name val="Aptos Narrow"/>
      <family val="2"/>
    </font>
    <font>
      <u/>
      <sz val="11"/>
      <color theme="1" tint="0.499984740745262"/>
      <name val="Calibri"/>
      <family val="2"/>
      <scheme val="minor"/>
    </font>
    <font>
      <b/>
      <sz val="11"/>
      <color theme="0"/>
      <name val="Calibri"/>
      <family val="2"/>
    </font>
    <font>
      <b/>
      <sz val="11"/>
      <name val="Calibri"/>
      <family val="2"/>
      <scheme val="minor"/>
    </font>
    <font>
      <i/>
      <sz val="11"/>
      <name val="Calibri"/>
      <family val="2"/>
      <scheme val="minor"/>
    </font>
    <font>
      <b/>
      <sz val="11"/>
      <color theme="1"/>
      <name val="Calibri"/>
      <family val="2"/>
    </font>
    <font>
      <i/>
      <sz val="11"/>
      <color theme="1" tint="0.34998626667073579"/>
      <name val="Calibri"/>
      <family val="2"/>
      <scheme val="minor"/>
    </font>
    <font>
      <b/>
      <i/>
      <sz val="11"/>
      <color theme="1" tint="0.34998626667073579"/>
      <name val="Calibri"/>
      <family val="2"/>
    </font>
    <font>
      <b/>
      <sz val="11"/>
      <name val="Calibri"/>
      <family val="2"/>
    </font>
    <font>
      <sz val="11"/>
      <name val="Calibri"/>
      <family val="2"/>
    </font>
    <font>
      <sz val="8"/>
      <name val="Calibri"/>
      <family val="2"/>
      <scheme val="minor"/>
    </font>
    <font>
      <sz val="11"/>
      <color theme="4" tint="0.59999389629810485"/>
      <name val="Calibri"/>
      <family val="2"/>
      <scheme val="minor"/>
    </font>
    <font>
      <i/>
      <sz val="11"/>
      <name val="Calibri"/>
      <family val="2"/>
    </font>
    <font>
      <i/>
      <sz val="11"/>
      <color theme="0" tint="-0.499984740745262"/>
      <name val="Calibri"/>
      <family val="2"/>
    </font>
    <font>
      <i/>
      <sz val="11"/>
      <color theme="0" tint="-0.499984740745262"/>
      <name val="Calibri"/>
      <family val="2"/>
      <scheme val="minor"/>
    </font>
    <font>
      <sz val="11"/>
      <color rgb="FFFFFFFF"/>
      <name val="Calibri"/>
      <family val="2"/>
    </font>
    <font>
      <sz val="16"/>
      <color rgb="FFFFFFFF"/>
      <name val="Calibri"/>
      <family val="2"/>
    </font>
    <font>
      <sz val="11"/>
      <color rgb="FF29303B"/>
      <name val="Body"/>
    </font>
    <font>
      <sz val="14"/>
      <name val="Calibri"/>
      <family val="2"/>
    </font>
    <font>
      <b/>
      <sz val="11"/>
      <color rgb="FF0000CC"/>
      <name val="Verdana"/>
      <family val="2"/>
    </font>
    <font>
      <sz val="10"/>
      <color theme="1"/>
      <name val="Arial"/>
      <family val="2"/>
    </font>
    <font>
      <b/>
      <sz val="11"/>
      <color rgb="FFFFFFFF"/>
      <name val="Calibri"/>
      <family val="2"/>
      <scheme val="minor"/>
    </font>
    <font>
      <b/>
      <sz val="12"/>
      <color theme="0"/>
      <name val="Calibri"/>
      <family val="2"/>
      <scheme val="minor"/>
    </font>
  </fonts>
  <fills count="16">
    <fill>
      <patternFill patternType="none"/>
    </fill>
    <fill>
      <patternFill patternType="gray125"/>
    </fill>
    <fill>
      <patternFill patternType="solid">
        <fgColor rgb="FFEEE7CA"/>
        <bgColor rgb="FFF0E8D5"/>
      </patternFill>
    </fill>
    <fill>
      <patternFill patternType="solid">
        <fgColor rgb="FF0A1F3A"/>
        <bgColor rgb="FF1B2B3A"/>
      </patternFill>
    </fill>
    <fill>
      <patternFill patternType="solid">
        <fgColor rgb="FF0099DA"/>
        <bgColor rgb="FF009ADE"/>
      </patternFill>
    </fill>
    <fill>
      <patternFill patternType="solid">
        <fgColor rgb="FFEEE7CA"/>
        <bgColor indexed="64"/>
      </patternFill>
    </fill>
    <fill>
      <patternFill patternType="solid">
        <fgColor theme="0"/>
        <bgColor indexed="64"/>
      </patternFill>
    </fill>
    <fill>
      <patternFill patternType="solid">
        <fgColor rgb="FFE3D7A5"/>
        <bgColor rgb="FFF0E8D5"/>
      </patternFill>
    </fill>
    <fill>
      <patternFill patternType="solid">
        <fgColor rgb="FFE8DEB6"/>
        <bgColor rgb="FFF0E8D5"/>
      </patternFill>
    </fill>
    <fill>
      <patternFill patternType="solid">
        <fgColor rgb="FF0A1F3A"/>
        <bgColor indexed="64"/>
      </patternFill>
    </fill>
    <fill>
      <patternFill patternType="solid">
        <fgColor rgb="FFE3D7A5"/>
        <bgColor rgb="FF1B2B3A"/>
      </patternFill>
    </fill>
    <fill>
      <patternFill patternType="solid">
        <fgColor rgb="FF0099DA"/>
        <bgColor indexed="64"/>
      </patternFill>
    </fill>
    <fill>
      <patternFill patternType="solid">
        <fgColor rgb="FF29303B"/>
        <bgColor indexed="64"/>
      </patternFill>
    </fill>
    <fill>
      <patternFill patternType="solid">
        <fgColor rgb="FFE9E9E9"/>
        <bgColor indexed="64"/>
      </patternFill>
    </fill>
    <fill>
      <patternFill patternType="solid">
        <fgColor rgb="FFA7A7A7"/>
        <bgColor indexed="64"/>
      </patternFill>
    </fill>
    <fill>
      <patternFill patternType="solid">
        <fgColor rgb="FFFFDF79"/>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theme="0" tint="-0.249977111117893"/>
      </bottom>
      <diagonal/>
    </border>
    <border>
      <left style="thin">
        <color indexed="64"/>
      </left>
      <right/>
      <top/>
      <bottom style="thin">
        <color theme="0" tint="-0.249977111117893"/>
      </bottom>
      <diagonal/>
    </border>
    <border>
      <left/>
      <right style="thin">
        <color indexed="64"/>
      </right>
      <top style="thin">
        <color theme="0" tint="-0.249977111117893"/>
      </top>
      <bottom style="thin">
        <color indexed="64"/>
      </bottom>
      <diagonal/>
    </border>
    <border>
      <left/>
      <right/>
      <top/>
      <bottom style="thin">
        <color theme="0" tint="-0.249977111117893"/>
      </bottom>
      <diagonal/>
    </border>
    <border>
      <left/>
      <right/>
      <top style="thin">
        <color theme="0" tint="-0.249977111117893"/>
      </top>
      <bottom style="thin">
        <color indexed="64"/>
      </bottom>
      <diagonal/>
    </border>
  </borders>
  <cellStyleXfs count="12">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0" borderId="0"/>
    <xf numFmtId="0" fontId="10" fillId="0" borderId="0" applyNumberFormat="0" applyFill="0" applyBorder="0" applyAlignment="0" applyProtection="0"/>
    <xf numFmtId="43" fontId="1" fillId="0" borderId="0" applyFont="0" applyFill="0" applyBorder="0" applyAlignment="0" applyProtection="0"/>
    <xf numFmtId="3" fontId="32" fillId="12" borderId="1" applyNumberFormat="0" applyBorder="0" applyAlignment="0" applyProtection="0">
      <alignment vertical="center"/>
    </xf>
    <xf numFmtId="171" fontId="5" fillId="13" borderId="0" applyNumberFormat="0" applyFont="0" applyBorder="0" applyAlignment="0" applyProtection="0"/>
    <xf numFmtId="0" fontId="18" fillId="14" borderId="16" applyNumberFormat="0" applyFont="0" applyBorder="0" applyAlignment="0" applyProtection="0">
      <alignment horizontal="center" vertical="center" wrapText="1"/>
    </xf>
    <xf numFmtId="171" fontId="33" fillId="15" borderId="0" applyNumberFormat="0" applyFont="0" applyBorder="0" applyAlignment="0" applyProtection="0">
      <alignment horizontal="center" vertical="center"/>
    </xf>
    <xf numFmtId="0" fontId="35" fillId="6" borderId="0" applyNumberFormat="0" applyFont="0" applyBorder="0" applyAlignment="0" applyProtection="0"/>
    <xf numFmtId="0" fontId="34" fillId="0" borderId="0" applyNumberFormat="0" applyFill="0" applyBorder="0" applyAlignment="0" applyProtection="0">
      <alignment vertical="center"/>
    </xf>
  </cellStyleXfs>
  <cellXfs count="403">
    <xf numFmtId="0" fontId="0" fillId="0" borderId="0" xfId="0"/>
    <xf numFmtId="0" fontId="2" fillId="0" borderId="0" xfId="0" applyFont="1"/>
    <xf numFmtId="0" fontId="3" fillId="0" borderId="0" xfId="0" applyFont="1"/>
    <xf numFmtId="0" fontId="4" fillId="0" borderId="0" xfId="0" applyFont="1"/>
    <xf numFmtId="0" fontId="0" fillId="2" borderId="0" xfId="0" applyFill="1"/>
    <xf numFmtId="0" fontId="4" fillId="3" borderId="0" xfId="0" applyFont="1" applyFill="1"/>
    <xf numFmtId="0" fontId="4" fillId="4" borderId="0" xfId="0" applyFont="1" applyFill="1"/>
    <xf numFmtId="0" fontId="3" fillId="5" borderId="0" xfId="0" applyFont="1" applyFill="1"/>
    <xf numFmtId="0" fontId="4" fillId="4" borderId="9" xfId="0" applyFont="1" applyFill="1" applyBorder="1"/>
    <xf numFmtId="0" fontId="4" fillId="4" borderId="10" xfId="0" applyFont="1" applyFill="1" applyBorder="1"/>
    <xf numFmtId="0" fontId="4" fillId="4" borderId="1" xfId="0" applyFont="1" applyFill="1" applyBorder="1"/>
    <xf numFmtId="0" fontId="4" fillId="4" borderId="2" xfId="0" applyFont="1" applyFill="1" applyBorder="1"/>
    <xf numFmtId="0" fontId="4" fillId="4" borderId="3" xfId="0" applyFont="1" applyFill="1" applyBorder="1" applyAlignment="1">
      <alignment horizontal="center"/>
    </xf>
    <xf numFmtId="0" fontId="0" fillId="2" borderId="4" xfId="0" applyFill="1" applyBorder="1"/>
    <xf numFmtId="0" fontId="0" fillId="2" borderId="6" xfId="0" applyFill="1" applyBorder="1"/>
    <xf numFmtId="0" fontId="0" fillId="2" borderId="1" xfId="0" applyFill="1" applyBorder="1"/>
    <xf numFmtId="0" fontId="4" fillId="4" borderId="11" xfId="0" applyFont="1" applyFill="1" applyBorder="1" applyAlignment="1">
      <alignment horizontal="center"/>
    </xf>
    <xf numFmtId="0" fontId="0" fillId="5" borderId="4" xfId="0" applyFill="1" applyBorder="1"/>
    <xf numFmtId="0" fontId="0" fillId="5" borderId="6" xfId="0" applyFill="1" applyBorder="1"/>
    <xf numFmtId="0" fontId="0" fillId="5" borderId="1" xfId="0" applyFill="1" applyBorder="1"/>
    <xf numFmtId="0" fontId="0" fillId="5" borderId="9" xfId="0" applyFill="1" applyBorder="1"/>
    <xf numFmtId="0" fontId="4" fillId="3" borderId="9" xfId="0" applyFont="1" applyFill="1" applyBorder="1"/>
    <xf numFmtId="0" fontId="4" fillId="3" borderId="11" xfId="0" applyFont="1" applyFill="1" applyBorder="1"/>
    <xf numFmtId="0" fontId="9" fillId="2" borderId="12" xfId="0" applyFont="1" applyFill="1" applyBorder="1" applyAlignment="1">
      <alignment horizontal="left" wrapText="1" indent="1"/>
    </xf>
    <xf numFmtId="0" fontId="9" fillId="2" borderId="13" xfId="0" applyFont="1" applyFill="1" applyBorder="1" applyAlignment="1">
      <alignment horizontal="left" wrapText="1" indent="1"/>
    </xf>
    <xf numFmtId="0" fontId="0" fillId="6" borderId="0" xfId="0" applyFill="1"/>
    <xf numFmtId="0" fontId="0" fillId="5" borderId="4" xfId="0" applyFill="1" applyBorder="1" applyAlignment="1">
      <alignment wrapText="1"/>
    </xf>
    <xf numFmtId="165" fontId="0" fillId="0" borderId="0" xfId="0" applyNumberFormat="1"/>
    <xf numFmtId="0" fontId="4" fillId="4" borderId="10" xfId="0" applyFont="1" applyFill="1" applyBorder="1" applyAlignment="1">
      <alignment horizontal="right"/>
    </xf>
    <xf numFmtId="0" fontId="8" fillId="2" borderId="4" xfId="0" applyFont="1" applyFill="1" applyBorder="1" applyAlignment="1">
      <alignment vertical="center"/>
    </xf>
    <xf numFmtId="165" fontId="3" fillId="0" borderId="2" xfId="2" applyNumberFormat="1" applyFont="1" applyFill="1" applyBorder="1" applyAlignment="1">
      <alignment horizontal="center" vertical="center"/>
    </xf>
    <xf numFmtId="0" fontId="0" fillId="0" borderId="2" xfId="0" applyBorder="1" applyAlignment="1">
      <alignment horizontal="center" vertical="center"/>
    </xf>
    <xf numFmtId="0" fontId="4" fillId="4" borderId="9" xfId="0" applyFont="1" applyFill="1" applyBorder="1" applyAlignment="1">
      <alignment horizontal="center"/>
    </xf>
    <xf numFmtId="0" fontId="0" fillId="5" borderId="14" xfId="0" applyFill="1" applyBorder="1"/>
    <xf numFmtId="10" fontId="0" fillId="0" borderId="0" xfId="1" applyNumberFormat="1" applyFont="1" applyFill="1" applyBorder="1"/>
    <xf numFmtId="0" fontId="9" fillId="0" borderId="0" xfId="0" applyFont="1" applyAlignment="1">
      <alignment horizontal="left" indent="1"/>
    </xf>
    <xf numFmtId="0" fontId="0" fillId="2" borderId="9" xfId="0" applyFill="1" applyBorder="1"/>
    <xf numFmtId="0" fontId="4" fillId="4" borderId="10" xfId="0" applyFont="1" applyFill="1" applyBorder="1" applyAlignment="1">
      <alignment horizontal="center"/>
    </xf>
    <xf numFmtId="9" fontId="0" fillId="0" borderId="0" xfId="0" applyNumberFormat="1"/>
    <xf numFmtId="0" fontId="0" fillId="5" borderId="13" xfId="0" applyFill="1" applyBorder="1"/>
    <xf numFmtId="0" fontId="0" fillId="5" borderId="3" xfId="0" applyFill="1" applyBorder="1"/>
    <xf numFmtId="0" fontId="4" fillId="4" borderId="1" xfId="0" applyFont="1" applyFill="1" applyBorder="1" applyAlignment="1">
      <alignment horizontal="center"/>
    </xf>
    <xf numFmtId="0" fontId="4" fillId="4" borderId="2" xfId="0" applyFont="1" applyFill="1" applyBorder="1" applyAlignment="1">
      <alignment horizontal="center"/>
    </xf>
    <xf numFmtId="0" fontId="13" fillId="3" borderId="0" xfId="0" applyFont="1" applyFill="1"/>
    <xf numFmtId="0" fontId="0" fillId="2" borderId="4" xfId="0" applyFill="1" applyBorder="1" applyAlignment="1">
      <alignment horizontal="left"/>
    </xf>
    <xf numFmtId="0" fontId="0" fillId="2" borderId="6" xfId="0" applyFill="1" applyBorder="1" applyAlignment="1">
      <alignment horizontal="left"/>
    </xf>
    <xf numFmtId="0" fontId="13" fillId="3" borderId="4" xfId="0" applyFont="1" applyFill="1" applyBorder="1"/>
    <xf numFmtId="166" fontId="0" fillId="5" borderId="5" xfId="0" applyNumberFormat="1" applyFill="1" applyBorder="1"/>
    <xf numFmtId="166" fontId="0" fillId="5" borderId="8" xfId="0" applyNumberFormat="1" applyFill="1" applyBorder="1"/>
    <xf numFmtId="166" fontId="0" fillId="2" borderId="11" xfId="0" applyNumberFormat="1" applyFill="1" applyBorder="1"/>
    <xf numFmtId="166" fontId="0" fillId="5" borderId="5" xfId="2" applyNumberFormat="1" applyFont="1" applyFill="1" applyBorder="1"/>
    <xf numFmtId="166" fontId="0" fillId="5" borderId="8" xfId="2" applyNumberFormat="1" applyFont="1" applyFill="1" applyBorder="1"/>
    <xf numFmtId="166" fontId="0" fillId="5" borderId="0" xfId="2" applyNumberFormat="1" applyFont="1" applyFill="1" applyBorder="1"/>
    <xf numFmtId="0" fontId="4" fillId="3" borderId="4" xfId="0" applyFont="1" applyFill="1" applyBorder="1" applyAlignment="1">
      <alignment horizontal="center"/>
    </xf>
    <xf numFmtId="166" fontId="0" fillId="0" borderId="0" xfId="0" applyNumberFormat="1"/>
    <xf numFmtId="0" fontId="16" fillId="2" borderId="13" xfId="4" applyFont="1" applyFill="1" applyBorder="1" applyAlignment="1">
      <alignment horizontal="left" wrapText="1" indent="1"/>
    </xf>
    <xf numFmtId="166" fontId="7" fillId="5" borderId="5" xfId="0" applyNumberFormat="1" applyFont="1" applyFill="1" applyBorder="1" applyAlignment="1">
      <alignment horizontal="right" vertical="center"/>
    </xf>
    <xf numFmtId="0" fontId="4" fillId="3" borderId="6" xfId="0" applyFont="1" applyFill="1" applyBorder="1"/>
    <xf numFmtId="0" fontId="4" fillId="3" borderId="7" xfId="0" applyFont="1" applyFill="1" applyBorder="1"/>
    <xf numFmtId="167" fontId="0" fillId="0" borderId="0" xfId="0" applyNumberFormat="1"/>
    <xf numFmtId="0" fontId="0" fillId="2" borderId="4" xfId="0" applyFill="1" applyBorder="1" applyAlignment="1">
      <alignment horizontal="left" vertical="center"/>
    </xf>
    <xf numFmtId="0" fontId="4" fillId="3" borderId="9" xfId="0" applyFont="1" applyFill="1" applyBorder="1" applyAlignment="1">
      <alignment horizontal="right"/>
    </xf>
    <xf numFmtId="9" fontId="7" fillId="5" borderId="7" xfId="1" applyFont="1" applyFill="1" applyBorder="1"/>
    <xf numFmtId="0" fontId="11" fillId="0" borderId="0" xfId="0" applyFont="1"/>
    <xf numFmtId="0" fontId="6" fillId="2" borderId="1" xfId="0" applyFont="1" applyFill="1" applyBorder="1" applyAlignment="1">
      <alignment horizontal="left"/>
    </xf>
    <xf numFmtId="166" fontId="7" fillId="7" borderId="7" xfId="2" applyNumberFormat="1" applyFont="1" applyFill="1" applyBorder="1" applyAlignment="1">
      <alignment vertical="center"/>
    </xf>
    <xf numFmtId="0" fontId="18" fillId="5" borderId="13" xfId="0" applyFont="1" applyFill="1" applyBorder="1"/>
    <xf numFmtId="0" fontId="18" fillId="5" borderId="14" xfId="0" applyFont="1" applyFill="1" applyBorder="1"/>
    <xf numFmtId="0" fontId="2" fillId="5" borderId="13" xfId="0" applyFont="1" applyFill="1" applyBorder="1"/>
    <xf numFmtId="10" fontId="0" fillId="5" borderId="2" xfId="0" applyNumberFormat="1" applyFill="1" applyBorder="1"/>
    <xf numFmtId="10" fontId="0" fillId="5" borderId="7" xfId="0" applyNumberFormat="1" applyFill="1" applyBorder="1"/>
    <xf numFmtId="0" fontId="4" fillId="4" borderId="11" xfId="0" applyFont="1" applyFill="1" applyBorder="1" applyAlignment="1">
      <alignment horizontal="right"/>
    </xf>
    <xf numFmtId="0" fontId="4" fillId="4" borderId="3" xfId="0" applyFont="1" applyFill="1" applyBorder="1" applyAlignment="1">
      <alignment horizontal="right"/>
    </xf>
    <xf numFmtId="0" fontId="0" fillId="5" borderId="2" xfId="0" applyFill="1" applyBorder="1"/>
    <xf numFmtId="0" fontId="0" fillId="5" borderId="7" xfId="0" applyFill="1" applyBorder="1"/>
    <xf numFmtId="0" fontId="0" fillId="2" borderId="1" xfId="0" applyFill="1" applyBorder="1" applyAlignment="1">
      <alignment horizontal="left"/>
    </xf>
    <xf numFmtId="0" fontId="17" fillId="3" borderId="10" xfId="0" applyFont="1" applyFill="1" applyBorder="1" applyAlignment="1">
      <alignment vertical="center"/>
    </xf>
    <xf numFmtId="0" fontId="4" fillId="4" borderId="1" xfId="0" applyFont="1" applyFill="1" applyBorder="1" applyAlignment="1">
      <alignment horizontal="left"/>
    </xf>
    <xf numFmtId="0" fontId="4" fillId="4" borderId="9" xfId="0" applyFont="1" applyFill="1" applyBorder="1" applyAlignment="1">
      <alignment horizontal="left"/>
    </xf>
    <xf numFmtId="0" fontId="4" fillId="3" borderId="10" xfId="0" applyFont="1" applyFill="1" applyBorder="1" applyAlignment="1">
      <alignment vertical="center"/>
    </xf>
    <xf numFmtId="0" fontId="4" fillId="4" borderId="10" xfId="0" applyFont="1" applyFill="1" applyBorder="1" applyAlignment="1">
      <alignment horizontal="left"/>
    </xf>
    <xf numFmtId="0" fontId="0" fillId="2" borderId="9" xfId="0" applyFill="1" applyBorder="1" applyAlignment="1">
      <alignment vertical="top" wrapText="1"/>
    </xf>
    <xf numFmtId="0" fontId="0" fillId="2" borderId="1" xfId="0" applyFill="1" applyBorder="1" applyAlignment="1">
      <alignment vertical="center"/>
    </xf>
    <xf numFmtId="10" fontId="0" fillId="0" borderId="0" xfId="1" applyNumberFormat="1" applyFont="1" applyFill="1"/>
    <xf numFmtId="166" fontId="0" fillId="2" borderId="8" xfId="2" applyNumberFormat="1" applyFont="1" applyFill="1" applyBorder="1" applyAlignment="1">
      <alignment vertical="center"/>
    </xf>
    <xf numFmtId="0" fontId="4" fillId="4" borderId="3" xfId="0" applyFont="1" applyFill="1" applyBorder="1"/>
    <xf numFmtId="0" fontId="0" fillId="8" borderId="4" xfId="0" applyFill="1" applyBorder="1"/>
    <xf numFmtId="166" fontId="7" fillId="8" borderId="0" xfId="2" applyNumberFormat="1" applyFont="1" applyFill="1" applyBorder="1" applyAlignment="1">
      <alignment vertical="center"/>
    </xf>
    <xf numFmtId="0" fontId="0" fillId="7" borderId="6" xfId="0" applyFill="1" applyBorder="1" applyAlignment="1">
      <alignment horizontal="left" vertical="center"/>
    </xf>
    <xf numFmtId="0" fontId="0" fillId="9" borderId="0" xfId="0" applyFill="1"/>
    <xf numFmtId="166" fontId="7" fillId="2" borderId="0" xfId="2" applyNumberFormat="1" applyFont="1" applyFill="1" applyBorder="1" applyAlignment="1">
      <alignment vertical="center"/>
    </xf>
    <xf numFmtId="0" fontId="0" fillId="0" borderId="0" xfId="0" applyAlignment="1">
      <alignment horizontal="left" vertical="center"/>
    </xf>
    <xf numFmtId="166" fontId="7" fillId="0" borderId="0" xfId="2" applyNumberFormat="1" applyFont="1" applyFill="1" applyBorder="1" applyAlignment="1">
      <alignment vertical="center"/>
    </xf>
    <xf numFmtId="0" fontId="9" fillId="0" borderId="0" xfId="0" applyFont="1" applyAlignment="1">
      <alignment horizontal="left" wrapText="1" indent="1"/>
    </xf>
    <xf numFmtId="0" fontId="0" fillId="8" borderId="6" xfId="0" applyFill="1" applyBorder="1"/>
    <xf numFmtId="166" fontId="7" fillId="8" borderId="7" xfId="2" applyNumberFormat="1" applyFont="1" applyFill="1" applyBorder="1" applyAlignment="1">
      <alignment vertical="center"/>
    </xf>
    <xf numFmtId="0" fontId="0" fillId="7" borderId="9" xfId="0" applyFill="1" applyBorder="1" applyAlignment="1">
      <alignment horizontal="left" vertical="center"/>
    </xf>
    <xf numFmtId="166" fontId="7" fillId="7" borderId="10" xfId="2" applyNumberFormat="1" applyFont="1" applyFill="1" applyBorder="1" applyAlignment="1">
      <alignment vertical="center"/>
    </xf>
    <xf numFmtId="166" fontId="0" fillId="5" borderId="11" xfId="0" applyNumberFormat="1" applyFill="1" applyBorder="1"/>
    <xf numFmtId="0" fontId="0" fillId="0" borderId="0" xfId="0" applyAlignment="1">
      <alignment horizontal="left"/>
    </xf>
    <xf numFmtId="14" fontId="7" fillId="0" borderId="0" xfId="0" applyNumberFormat="1" applyFont="1" applyAlignment="1">
      <alignment horizontal="right"/>
    </xf>
    <xf numFmtId="14" fontId="0" fillId="0" borderId="0" xfId="0" applyNumberFormat="1"/>
    <xf numFmtId="14" fontId="7" fillId="0" borderId="0" xfId="0" applyNumberFormat="1" applyFont="1" applyAlignment="1">
      <alignment horizontal="left"/>
    </xf>
    <xf numFmtId="164" fontId="3" fillId="0" borderId="0" xfId="0" applyNumberFormat="1" applyFont="1" applyAlignment="1">
      <alignment horizontal="right" vertical="top"/>
    </xf>
    <xf numFmtId="166" fontId="0" fillId="5" borderId="3" xfId="2" applyNumberFormat="1" applyFont="1" applyFill="1" applyBorder="1"/>
    <xf numFmtId="166" fontId="0" fillId="5" borderId="3" xfId="0" applyNumberFormat="1" applyFill="1" applyBorder="1"/>
    <xf numFmtId="166" fontId="0" fillId="2" borderId="8" xfId="2" applyNumberFormat="1" applyFont="1" applyFill="1" applyBorder="1"/>
    <xf numFmtId="0" fontId="20" fillId="10" borderId="0" xfId="0" applyFont="1" applyFill="1"/>
    <xf numFmtId="166" fontId="20" fillId="10" borderId="0" xfId="2" applyNumberFormat="1" applyFont="1" applyFill="1" applyBorder="1" applyAlignment="1"/>
    <xf numFmtId="14" fontId="3" fillId="0" borderId="0" xfId="0" applyNumberFormat="1" applyFont="1" applyAlignment="1">
      <alignment horizontal="right"/>
    </xf>
    <xf numFmtId="166" fontId="0" fillId="0" borderId="0" xfId="2" applyNumberFormat="1" applyFont="1" applyFill="1" applyBorder="1"/>
    <xf numFmtId="0" fontId="9" fillId="0" borderId="0" xfId="0" applyFont="1" applyAlignment="1">
      <alignment horizontal="left" vertical="top" wrapText="1" indent="1"/>
    </xf>
    <xf numFmtId="166" fontId="0" fillId="5" borderId="5" xfId="0" applyNumberFormat="1" applyFill="1" applyBorder="1" applyAlignment="1">
      <alignment horizontal="right"/>
    </xf>
    <xf numFmtId="10" fontId="7" fillId="5" borderId="8" xfId="0" applyNumberFormat="1" applyFont="1" applyFill="1" applyBorder="1" applyAlignment="1">
      <alignment horizontal="right" vertical="center"/>
    </xf>
    <xf numFmtId="0" fontId="4" fillId="4" borderId="9" xfId="0" applyFont="1" applyFill="1" applyBorder="1" applyAlignment="1">
      <alignment horizontal="center" vertical="center"/>
    </xf>
    <xf numFmtId="0" fontId="4" fillId="5" borderId="7" xfId="0" applyFont="1" applyFill="1" applyBorder="1"/>
    <xf numFmtId="0" fontId="4" fillId="3" borderId="9" xfId="0" applyFont="1" applyFill="1" applyBorder="1" applyAlignment="1">
      <alignment vertical="center"/>
    </xf>
    <xf numFmtId="0" fontId="4" fillId="3" borderId="11" xfId="0" applyFont="1" applyFill="1" applyBorder="1" applyAlignment="1">
      <alignment vertical="center"/>
    </xf>
    <xf numFmtId="0" fontId="0" fillId="0" borderId="10" xfId="0" applyBorder="1"/>
    <xf numFmtId="0" fontId="20" fillId="5" borderId="15" xfId="0" applyFont="1" applyFill="1" applyBorder="1" applyAlignment="1">
      <alignment horizontal="center"/>
    </xf>
    <xf numFmtId="0" fontId="16" fillId="2" borderId="14" xfId="4" applyFont="1" applyFill="1" applyBorder="1" applyAlignment="1">
      <alignment horizontal="left" wrapText="1" indent="1"/>
    </xf>
    <xf numFmtId="0" fontId="4" fillId="11" borderId="1" xfId="0" applyFont="1" applyFill="1" applyBorder="1"/>
    <xf numFmtId="0" fontId="4" fillId="11" borderId="2" xfId="0" applyFont="1" applyFill="1" applyBorder="1"/>
    <xf numFmtId="0" fontId="4" fillId="4" borderId="2" xfId="0" applyFont="1" applyFill="1" applyBorder="1" applyAlignment="1">
      <alignment horizontal="right"/>
    </xf>
    <xf numFmtId="0" fontId="4" fillId="5" borderId="2" xfId="0" applyFont="1" applyFill="1" applyBorder="1"/>
    <xf numFmtId="0" fontId="21" fillId="5" borderId="6" xfId="0" applyFont="1" applyFill="1" applyBorder="1"/>
    <xf numFmtId="0" fontId="22" fillId="5" borderId="7" xfId="0" applyFont="1" applyFill="1" applyBorder="1"/>
    <xf numFmtId="2" fontId="21" fillId="2" borderId="7" xfId="2" applyNumberFormat="1" applyFont="1" applyFill="1" applyBorder="1" applyAlignment="1">
      <alignment vertical="center"/>
    </xf>
    <xf numFmtId="0" fontId="7" fillId="0" borderId="0" xfId="0" applyFont="1"/>
    <xf numFmtId="10" fontId="0" fillId="5" borderId="0" xfId="0" applyNumberFormat="1" applyFill="1"/>
    <xf numFmtId="0" fontId="26" fillId="0" borderId="0" xfId="0" applyFont="1"/>
    <xf numFmtId="2" fontId="0" fillId="0" borderId="0" xfId="0" applyNumberFormat="1"/>
    <xf numFmtId="0" fontId="0" fillId="5" borderId="0" xfId="0" applyFill="1"/>
    <xf numFmtId="14" fontId="4" fillId="4" borderId="10" xfId="0" applyNumberFormat="1" applyFont="1" applyFill="1" applyBorder="1" applyAlignment="1">
      <alignment horizontal="right"/>
    </xf>
    <xf numFmtId="0" fontId="0" fillId="5" borderId="6" xfId="0" applyFill="1" applyBorder="1" applyAlignment="1">
      <alignment wrapText="1"/>
    </xf>
    <xf numFmtId="0" fontId="4" fillId="4" borderId="11" xfId="0" applyFont="1" applyFill="1" applyBorder="1"/>
    <xf numFmtId="0" fontId="3" fillId="5" borderId="7" xfId="0" applyFont="1" applyFill="1" applyBorder="1"/>
    <xf numFmtId="0" fontId="6" fillId="2" borderId="13" xfId="0" applyFont="1" applyFill="1" applyBorder="1" applyAlignment="1">
      <alignment vertical="center" wrapText="1"/>
    </xf>
    <xf numFmtId="0" fontId="10" fillId="2" borderId="1" xfId="4" applyFill="1" applyBorder="1" applyAlignment="1">
      <alignment horizontal="left"/>
    </xf>
    <xf numFmtId="0" fontId="6" fillId="2" borderId="5" xfId="0" applyFont="1" applyFill="1" applyBorder="1" applyAlignment="1">
      <alignment vertical="top"/>
    </xf>
    <xf numFmtId="0" fontId="0" fillId="2" borderId="5" xfId="0" applyFill="1" applyBorder="1" applyAlignment="1">
      <alignment horizontal="right" vertical="top"/>
    </xf>
    <xf numFmtId="0" fontId="0" fillId="5" borderId="1"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11" fillId="11" borderId="9" xfId="0" applyFont="1" applyFill="1" applyBorder="1" applyAlignment="1">
      <alignment horizontal="center"/>
    </xf>
    <xf numFmtId="0" fontId="11" fillId="11" borderId="11" xfId="0" applyFont="1" applyFill="1" applyBorder="1" applyAlignment="1">
      <alignment horizontal="center"/>
    </xf>
    <xf numFmtId="10" fontId="7" fillId="5" borderId="3" xfId="0" applyNumberFormat="1" applyFont="1" applyFill="1" applyBorder="1" applyAlignment="1">
      <alignment horizontal="right" vertical="center"/>
    </xf>
    <xf numFmtId="10" fontId="7" fillId="5" borderId="5" xfId="0" applyNumberFormat="1" applyFont="1" applyFill="1" applyBorder="1" applyAlignment="1">
      <alignment horizontal="right" vertical="center"/>
    </xf>
    <xf numFmtId="0" fontId="30" fillId="3" borderId="0" xfId="0" applyFont="1" applyFill="1"/>
    <xf numFmtId="0" fontId="31" fillId="3" borderId="0" xfId="0" applyFont="1" applyFill="1" applyAlignment="1">
      <alignment vertical="center"/>
    </xf>
    <xf numFmtId="0" fontId="10" fillId="0" borderId="0" xfId="4" applyFill="1"/>
    <xf numFmtId="0" fontId="7" fillId="2" borderId="0" xfId="0" applyFont="1" applyFill="1" applyAlignment="1">
      <alignment horizontal="right"/>
    </xf>
    <xf numFmtId="0" fontId="0" fillId="5" borderId="5" xfId="0" applyFill="1" applyBorder="1"/>
    <xf numFmtId="0" fontId="0" fillId="5" borderId="0" xfId="0" applyFill="1" applyAlignment="1">
      <alignment horizontal="right"/>
    </xf>
    <xf numFmtId="0" fontId="7" fillId="2" borderId="5" xfId="0" applyFont="1" applyFill="1" applyBorder="1" applyAlignment="1">
      <alignment horizontal="left"/>
    </xf>
    <xf numFmtId="14" fontId="7" fillId="2" borderId="7" xfId="0" applyNumberFormat="1" applyFont="1" applyFill="1" applyBorder="1" applyAlignment="1">
      <alignment horizontal="right"/>
    </xf>
    <xf numFmtId="0" fontId="0" fillId="5" borderId="8" xfId="0" applyFill="1" applyBorder="1"/>
    <xf numFmtId="14" fontId="0" fillId="5" borderId="7" xfId="0" applyNumberFormat="1" applyFill="1" applyBorder="1"/>
    <xf numFmtId="14" fontId="7" fillId="2" borderId="8" xfId="0" applyNumberFormat="1" applyFont="1" applyFill="1" applyBorder="1" applyAlignment="1">
      <alignment horizontal="left"/>
    </xf>
    <xf numFmtId="164" fontId="0" fillId="2" borderId="2" xfId="0" applyNumberFormat="1" applyFill="1" applyBorder="1" applyAlignment="1">
      <alignment horizontal="right" vertical="top"/>
    </xf>
    <xf numFmtId="0" fontId="7" fillId="2" borderId="3" xfId="0" applyFont="1" applyFill="1" applyBorder="1" applyAlignment="1">
      <alignment horizontal="left"/>
    </xf>
    <xf numFmtId="0" fontId="0" fillId="5" borderId="0" xfId="0" applyFill="1" applyAlignment="1">
      <alignment horizontal="right" vertical="top"/>
    </xf>
    <xf numFmtId="14" fontId="7" fillId="2" borderId="5" xfId="0" applyNumberFormat="1" applyFont="1" applyFill="1" applyBorder="1" applyAlignment="1">
      <alignment horizontal="left"/>
    </xf>
    <xf numFmtId="164" fontId="0" fillId="2" borderId="7" xfId="0" applyNumberFormat="1" applyFill="1" applyBorder="1" applyAlignment="1">
      <alignment horizontal="right" vertical="top"/>
    </xf>
    <xf numFmtId="166" fontId="0" fillId="5" borderId="11" xfId="2" applyNumberFormat="1" applyFont="1" applyFill="1" applyBorder="1" applyProtection="1"/>
    <xf numFmtId="0" fontId="0" fillId="2" borderId="4" xfId="0" applyFill="1" applyBorder="1" applyAlignment="1">
      <alignment vertical="center"/>
    </xf>
    <xf numFmtId="166" fontId="1" fillId="2" borderId="0" xfId="2" applyNumberFormat="1" applyFont="1" applyFill="1" applyBorder="1" applyAlignment="1" applyProtection="1">
      <alignment vertical="center"/>
    </xf>
    <xf numFmtId="0" fontId="19" fillId="2" borderId="13" xfId="0" applyFont="1" applyFill="1" applyBorder="1" applyAlignment="1">
      <alignment horizontal="left" wrapText="1" indent="1"/>
    </xf>
    <xf numFmtId="0" fontId="0" fillId="2" borderId="4" xfId="0" applyFill="1" applyBorder="1" applyAlignment="1">
      <alignment wrapText="1"/>
    </xf>
    <xf numFmtId="166" fontId="0" fillId="2" borderId="8" xfId="2" applyNumberFormat="1" applyFont="1" applyFill="1" applyBorder="1" applyAlignment="1" applyProtection="1">
      <alignment vertical="center"/>
    </xf>
    <xf numFmtId="166" fontId="0" fillId="5" borderId="7" xfId="0" applyNumberFormat="1" applyFill="1" applyBorder="1"/>
    <xf numFmtId="166" fontId="0" fillId="2" borderId="3" xfId="0" applyNumberFormat="1" applyFill="1" applyBorder="1"/>
    <xf numFmtId="10" fontId="0" fillId="5" borderId="7" xfId="1" applyNumberFormat="1" applyFont="1" applyFill="1" applyBorder="1" applyProtection="1"/>
    <xf numFmtId="166" fontId="0" fillId="5" borderId="3" xfId="2" applyNumberFormat="1" applyFont="1" applyFill="1" applyBorder="1" applyProtection="1"/>
    <xf numFmtId="166" fontId="7" fillId="5" borderId="3" xfId="0" applyNumberFormat="1" applyFont="1" applyFill="1" applyBorder="1" applyAlignment="1">
      <alignment horizontal="right" vertical="center"/>
    </xf>
    <xf numFmtId="166" fontId="0" fillId="5" borderId="5" xfId="2" applyNumberFormat="1" applyFont="1" applyFill="1" applyBorder="1" applyProtection="1"/>
    <xf numFmtId="10" fontId="0" fillId="5" borderId="5" xfId="1" applyNumberFormat="1" applyFont="1" applyFill="1" applyBorder="1" applyAlignment="1" applyProtection="1">
      <alignment horizontal="right"/>
    </xf>
    <xf numFmtId="166" fontId="0" fillId="5" borderId="8" xfId="2" applyNumberFormat="1" applyFont="1" applyFill="1" applyBorder="1" applyProtection="1"/>
    <xf numFmtId="10" fontId="0" fillId="5" borderId="8" xfId="1" applyNumberFormat="1" applyFont="1" applyFill="1" applyBorder="1" applyAlignment="1" applyProtection="1">
      <alignment horizontal="right"/>
    </xf>
    <xf numFmtId="166" fontId="0" fillId="5" borderId="0" xfId="2" applyNumberFormat="1" applyFont="1" applyFill="1" applyProtection="1"/>
    <xf numFmtId="9" fontId="0" fillId="5" borderId="7" xfId="1" applyFont="1" applyFill="1" applyBorder="1" applyProtection="1"/>
    <xf numFmtId="166" fontId="0" fillId="5" borderId="0" xfId="2" applyNumberFormat="1" applyFont="1" applyFill="1" applyBorder="1" applyProtection="1"/>
    <xf numFmtId="166" fontId="0" fillId="5" borderId="7" xfId="2" applyNumberFormat="1" applyFont="1" applyFill="1" applyBorder="1" applyProtection="1"/>
    <xf numFmtId="0" fontId="19" fillId="5" borderId="11" xfId="0" applyFont="1" applyFill="1" applyBorder="1" applyAlignment="1">
      <alignment horizontal="left" indent="1"/>
    </xf>
    <xf numFmtId="0" fontId="19" fillId="2" borderId="12" xfId="0" applyFont="1" applyFill="1" applyBorder="1" applyAlignment="1">
      <alignment horizontal="left" vertical="top" wrapText="1" indent="1"/>
    </xf>
    <xf numFmtId="0" fontId="0" fillId="2" borderId="18" xfId="0" applyFill="1" applyBorder="1"/>
    <xf numFmtId="166" fontId="0" fillId="2" borderId="17" xfId="0" applyNumberFormat="1" applyFill="1" applyBorder="1"/>
    <xf numFmtId="166" fontId="0" fillId="2" borderId="19" xfId="0" applyNumberFormat="1" applyFill="1" applyBorder="1"/>
    <xf numFmtId="0" fontId="19" fillId="5" borderId="8"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9" fillId="5" borderId="12" xfId="0" applyFont="1" applyFill="1" applyBorder="1" applyAlignment="1">
      <alignment horizontal="left" vertical="top" wrapText="1" indent="1"/>
    </xf>
    <xf numFmtId="0" fontId="19" fillId="5" borderId="14" xfId="0" applyFont="1" applyFill="1" applyBorder="1" applyAlignment="1">
      <alignment horizontal="left" vertical="top" wrapText="1" indent="1"/>
    </xf>
    <xf numFmtId="0" fontId="19" fillId="5" borderId="13" xfId="0" applyFont="1" applyFill="1" applyBorder="1" applyAlignment="1">
      <alignment horizontal="left" vertical="top" wrapText="1" indent="1"/>
    </xf>
    <xf numFmtId="0" fontId="0" fillId="2" borderId="18" xfId="0" applyFill="1" applyBorder="1" applyAlignment="1">
      <alignment wrapText="1"/>
    </xf>
    <xf numFmtId="0" fontId="0" fillId="5" borderId="4" xfId="0" applyFill="1" applyBorder="1" applyAlignment="1">
      <alignment horizontal="left" indent="1"/>
    </xf>
    <xf numFmtId="0" fontId="0" fillId="5" borderId="6" xfId="0" applyFill="1" applyBorder="1" applyAlignment="1">
      <alignment horizontal="left" indent="1"/>
    </xf>
    <xf numFmtId="168" fontId="19" fillId="5" borderId="5" xfId="1" applyNumberFormat="1" applyFont="1" applyFill="1" applyBorder="1" applyAlignment="1">
      <alignment horizontal="right"/>
    </xf>
    <xf numFmtId="168" fontId="19" fillId="5" borderId="8" xfId="1" applyNumberFormat="1" applyFont="1" applyFill="1" applyBorder="1" applyAlignment="1">
      <alignment horizontal="right"/>
    </xf>
    <xf numFmtId="166" fontId="1" fillId="2" borderId="5" xfId="2" applyNumberFormat="1" applyFont="1" applyFill="1" applyBorder="1" applyAlignment="1" applyProtection="1">
      <alignment vertical="center"/>
    </xf>
    <xf numFmtId="0" fontId="19" fillId="2" borderId="13" xfId="0" quotePrefix="1" applyFont="1" applyFill="1" applyBorder="1" applyAlignment="1">
      <alignment horizontal="left" wrapText="1" indent="1"/>
    </xf>
    <xf numFmtId="0" fontId="19" fillId="5" borderId="14" xfId="0" applyFont="1" applyFill="1" applyBorder="1" applyAlignment="1">
      <alignment horizontal="left" indent="1"/>
    </xf>
    <xf numFmtId="0" fontId="19" fillId="5" borderId="15" xfId="0" applyFont="1" applyFill="1" applyBorder="1" applyAlignment="1">
      <alignment horizontal="left" indent="1"/>
    </xf>
    <xf numFmtId="0" fontId="19" fillId="5" borderId="3" xfId="0" applyFont="1" applyFill="1" applyBorder="1" applyAlignment="1">
      <alignment horizontal="left" indent="1"/>
    </xf>
    <xf numFmtId="0" fontId="19" fillId="5" borderId="5" xfId="0" applyFont="1" applyFill="1" applyBorder="1" applyAlignment="1">
      <alignment horizontal="left" indent="1"/>
    </xf>
    <xf numFmtId="0" fontId="19" fillId="5" borderId="8" xfId="0" applyFont="1" applyFill="1" applyBorder="1" applyAlignment="1">
      <alignment horizontal="left" indent="1"/>
    </xf>
    <xf numFmtId="10" fontId="19" fillId="5" borderId="3" xfId="0" applyNumberFormat="1" applyFont="1" applyFill="1" applyBorder="1" applyAlignment="1">
      <alignment horizontal="left" vertical="center" indent="1"/>
    </xf>
    <xf numFmtId="10" fontId="19" fillId="5" borderId="5" xfId="0" applyNumberFormat="1" applyFont="1" applyFill="1" applyBorder="1" applyAlignment="1">
      <alignment horizontal="left" vertical="center" indent="1"/>
    </xf>
    <xf numFmtId="10" fontId="19" fillId="5" borderId="8" xfId="0" applyNumberFormat="1" applyFont="1" applyFill="1" applyBorder="1" applyAlignment="1">
      <alignment horizontal="left" vertical="center" indent="1"/>
    </xf>
    <xf numFmtId="0" fontId="9" fillId="5" borderId="3" xfId="0" applyFont="1" applyFill="1" applyBorder="1" applyAlignment="1" applyProtection="1">
      <alignment horizontal="left" indent="1"/>
      <protection locked="0"/>
    </xf>
    <xf numFmtId="0" fontId="9" fillId="5" borderId="5" xfId="0" applyFont="1" applyFill="1" applyBorder="1" applyAlignment="1" applyProtection="1">
      <alignment horizontal="left" indent="1"/>
      <protection locked="0"/>
    </xf>
    <xf numFmtId="0" fontId="9" fillId="5" borderId="8" xfId="0" applyFont="1" applyFill="1" applyBorder="1" applyAlignment="1" applyProtection="1">
      <alignment horizontal="left" indent="1"/>
      <protection locked="0"/>
    </xf>
    <xf numFmtId="10" fontId="9" fillId="5" borderId="3" xfId="0" applyNumberFormat="1" applyFont="1" applyFill="1" applyBorder="1" applyAlignment="1" applyProtection="1">
      <alignment horizontal="left" vertical="center" indent="1"/>
      <protection locked="0"/>
    </xf>
    <xf numFmtId="10" fontId="9" fillId="5" borderId="5" xfId="0" applyNumberFormat="1" applyFont="1" applyFill="1" applyBorder="1" applyAlignment="1" applyProtection="1">
      <alignment horizontal="left" vertical="center" indent="1"/>
      <protection locked="0"/>
    </xf>
    <xf numFmtId="10" fontId="9" fillId="5" borderId="8" xfId="0" applyNumberFormat="1" applyFont="1" applyFill="1" applyBorder="1" applyAlignment="1" applyProtection="1">
      <alignment horizontal="left" vertical="center" indent="1"/>
      <protection locked="0"/>
    </xf>
    <xf numFmtId="0" fontId="9" fillId="2" borderId="12" xfId="0" applyFont="1" applyFill="1" applyBorder="1" applyAlignment="1" applyProtection="1">
      <alignment horizontal="left" wrapText="1" indent="1"/>
      <protection locked="0"/>
    </xf>
    <xf numFmtId="0" fontId="9" fillId="2" borderId="13" xfId="0" applyFont="1" applyFill="1" applyBorder="1" applyAlignment="1" applyProtection="1">
      <alignment horizontal="left" indent="1"/>
      <protection locked="0"/>
    </xf>
    <xf numFmtId="0" fontId="9" fillId="2" borderId="13" xfId="0" quotePrefix="1" applyFont="1" applyFill="1" applyBorder="1" applyAlignment="1" applyProtection="1">
      <alignment horizontal="left" wrapText="1" indent="1"/>
      <protection locked="0"/>
    </xf>
    <xf numFmtId="0" fontId="9" fillId="5" borderId="14" xfId="0" applyFont="1" applyFill="1" applyBorder="1" applyAlignment="1" applyProtection="1">
      <alignment horizontal="left" indent="1"/>
      <protection locked="0"/>
    </xf>
    <xf numFmtId="166" fontId="3" fillId="2" borderId="3" xfId="2" applyNumberFormat="1" applyFont="1" applyFill="1" applyBorder="1" applyAlignment="1" applyProtection="1">
      <alignment vertical="center"/>
      <protection locked="0"/>
    </xf>
    <xf numFmtId="166" fontId="3" fillId="2" borderId="5" xfId="2" applyNumberFormat="1" applyFont="1" applyFill="1" applyBorder="1" applyAlignment="1" applyProtection="1">
      <alignment vertical="center"/>
      <protection locked="0"/>
    </xf>
    <xf numFmtId="166" fontId="3" fillId="2" borderId="17" xfId="2" applyNumberFormat="1" applyFont="1" applyFill="1" applyBorder="1" applyAlignment="1" applyProtection="1">
      <alignment vertical="center"/>
      <protection locked="0"/>
    </xf>
    <xf numFmtId="166" fontId="3" fillId="2" borderId="10" xfId="2" applyNumberFormat="1" applyFont="1" applyFill="1" applyBorder="1" applyAlignment="1" applyProtection="1">
      <alignment vertical="center"/>
      <protection locked="0"/>
    </xf>
    <xf numFmtId="0" fontId="9" fillId="5" borderId="15" xfId="0" applyFont="1" applyFill="1" applyBorder="1" applyAlignment="1" applyProtection="1">
      <alignment horizontal="left" wrapText="1" indent="1"/>
      <protection locked="0"/>
    </xf>
    <xf numFmtId="166" fontId="3" fillId="2" borderId="11" xfId="2" applyNumberFormat="1" applyFont="1" applyFill="1" applyBorder="1" applyAlignment="1" applyProtection="1">
      <alignment vertical="center"/>
      <protection locked="0"/>
    </xf>
    <xf numFmtId="165" fontId="9" fillId="2" borderId="11" xfId="2" applyNumberFormat="1" applyFont="1" applyFill="1" applyBorder="1" applyAlignment="1" applyProtection="1">
      <alignment horizontal="left" vertical="center" indent="1"/>
      <protection locked="0"/>
    </xf>
    <xf numFmtId="166" fontId="3" fillId="2" borderId="0" xfId="2" applyNumberFormat="1" applyFont="1" applyFill="1" applyAlignment="1" applyProtection="1">
      <alignment horizontal="right" vertical="center"/>
      <protection locked="0"/>
    </xf>
    <xf numFmtId="166" fontId="3" fillId="2" borderId="0" xfId="2" applyNumberFormat="1" applyFont="1" applyFill="1" applyAlignment="1" applyProtection="1">
      <alignment vertical="center"/>
      <protection locked="0"/>
    </xf>
    <xf numFmtId="166" fontId="3" fillId="2" borderId="0" xfId="2" applyNumberFormat="1" applyFont="1" applyFill="1" applyBorder="1" applyAlignment="1" applyProtection="1">
      <alignment vertical="center"/>
      <protection locked="0"/>
    </xf>
    <xf numFmtId="1" fontId="3" fillId="2" borderId="2" xfId="2" applyNumberFormat="1" applyFont="1" applyFill="1" applyBorder="1" applyAlignment="1" applyProtection="1">
      <alignment vertical="center"/>
      <protection locked="0"/>
    </xf>
    <xf numFmtId="164" fontId="3" fillId="2" borderId="5" xfId="0" applyNumberFormat="1" applyFont="1" applyFill="1" applyBorder="1" applyAlignment="1" applyProtection="1">
      <alignment horizontal="right" vertical="top"/>
      <protection locked="0"/>
    </xf>
    <xf numFmtId="0" fontId="3" fillId="5" borderId="5" xfId="0" applyFont="1" applyFill="1" applyBorder="1" applyAlignment="1" applyProtection="1">
      <alignment horizontal="right" vertical="top"/>
      <protection locked="0"/>
    </xf>
    <xf numFmtId="164" fontId="3" fillId="2" borderId="8" xfId="0" applyNumberFormat="1" applyFont="1" applyFill="1" applyBorder="1" applyAlignment="1" applyProtection="1">
      <alignment horizontal="right" vertical="top"/>
      <protection locked="0"/>
    </xf>
    <xf numFmtId="0" fontId="3" fillId="2" borderId="5" xfId="0" applyFont="1" applyFill="1" applyBorder="1" applyAlignment="1" applyProtection="1">
      <alignment horizontal="right"/>
      <protection locked="0"/>
    </xf>
    <xf numFmtId="14" fontId="3" fillId="2" borderId="8" xfId="0" applyNumberFormat="1" applyFont="1" applyFill="1" applyBorder="1" applyAlignment="1" applyProtection="1">
      <alignment horizontal="right"/>
      <protection locked="0"/>
    </xf>
    <xf numFmtId="166" fontId="7" fillId="2" borderId="0" xfId="2" applyNumberFormat="1" applyFont="1" applyFill="1" applyAlignment="1" applyProtection="1">
      <alignment vertical="center"/>
    </xf>
    <xf numFmtId="0" fontId="9" fillId="5" borderId="12" xfId="0" applyFont="1" applyFill="1" applyBorder="1" applyAlignment="1" applyProtection="1">
      <alignment horizontal="left" indent="1"/>
      <protection locked="0"/>
    </xf>
    <xf numFmtId="0" fontId="9" fillId="2" borderId="13" xfId="0" applyFont="1" applyFill="1" applyBorder="1" applyAlignment="1" applyProtection="1">
      <alignment horizontal="left" wrapText="1" indent="1"/>
      <protection locked="0"/>
    </xf>
    <xf numFmtId="0" fontId="9" fillId="2" borderId="13" xfId="0" applyFont="1" applyFill="1" applyBorder="1" applyAlignment="1" applyProtection="1">
      <alignment horizontal="left" vertical="center" wrapText="1" indent="1"/>
      <protection locked="0"/>
    </xf>
    <xf numFmtId="2" fontId="21" fillId="2" borderId="8" xfId="2" applyNumberFormat="1" applyFont="1" applyFill="1" applyBorder="1" applyAlignment="1">
      <alignment vertical="center"/>
    </xf>
    <xf numFmtId="169" fontId="3" fillId="2" borderId="0" xfId="5" applyNumberFormat="1" applyFont="1" applyFill="1" applyAlignment="1" applyProtection="1">
      <alignment vertical="center"/>
      <protection locked="0"/>
    </xf>
    <xf numFmtId="169" fontId="3" fillId="2" borderId="7" xfId="5" applyNumberFormat="1" applyFont="1" applyFill="1" applyBorder="1" applyAlignment="1" applyProtection="1">
      <alignment vertical="center"/>
      <protection locked="0"/>
    </xf>
    <xf numFmtId="0" fontId="9" fillId="2" borderId="14" xfId="0" applyFont="1" applyFill="1" applyBorder="1" applyAlignment="1" applyProtection="1">
      <alignment horizontal="left" wrapText="1" indent="1"/>
      <protection locked="0"/>
    </xf>
    <xf numFmtId="166" fontId="3" fillId="2" borderId="2" xfId="2" applyNumberFormat="1" applyFont="1" applyFill="1" applyBorder="1" applyAlignment="1" applyProtection="1">
      <alignment vertical="center"/>
      <protection locked="0"/>
    </xf>
    <xf numFmtId="0" fontId="9" fillId="7" borderId="14" xfId="0" applyFont="1" applyFill="1" applyBorder="1" applyAlignment="1" applyProtection="1">
      <alignment horizontal="left" wrapText="1" indent="1"/>
      <protection locked="0"/>
    </xf>
    <xf numFmtId="0" fontId="9" fillId="8" borderId="13" xfId="0" applyFont="1" applyFill="1" applyBorder="1" applyAlignment="1" applyProtection="1">
      <alignment horizontal="left" wrapText="1" indent="1"/>
      <protection locked="0"/>
    </xf>
    <xf numFmtId="0" fontId="9" fillId="8" borderId="14" xfId="0" applyFont="1" applyFill="1" applyBorder="1" applyAlignment="1" applyProtection="1">
      <alignment horizontal="left" wrapText="1" indent="1"/>
      <protection locked="0"/>
    </xf>
    <xf numFmtId="0" fontId="9" fillId="7" borderId="15" xfId="0" applyFont="1" applyFill="1" applyBorder="1" applyAlignment="1" applyProtection="1">
      <alignment horizontal="left" wrapText="1" indent="1"/>
      <protection locked="0"/>
    </xf>
    <xf numFmtId="10" fontId="3" fillId="2" borderId="2" xfId="1" applyNumberFormat="1" applyFont="1" applyFill="1" applyBorder="1" applyAlignment="1" applyProtection="1">
      <alignment vertical="center"/>
      <protection locked="0"/>
    </xf>
    <xf numFmtId="0" fontId="9" fillId="2" borderId="11" xfId="0" applyFont="1" applyFill="1" applyBorder="1" applyAlignment="1" applyProtection="1">
      <alignment horizontal="left" vertical="top" wrapText="1" indent="1"/>
      <protection locked="0"/>
    </xf>
    <xf numFmtId="0" fontId="9" fillId="5" borderId="13" xfId="0" applyFont="1" applyFill="1" applyBorder="1" applyAlignment="1" applyProtection="1">
      <alignment horizontal="left" vertical="top" wrapText="1" indent="1"/>
      <protection locked="0"/>
    </xf>
    <xf numFmtId="0" fontId="9" fillId="5" borderId="14" xfId="0" applyFont="1" applyFill="1" applyBorder="1" applyAlignment="1" applyProtection="1">
      <alignment horizontal="left" vertical="top" wrapText="1" indent="1"/>
      <protection locked="0"/>
    </xf>
    <xf numFmtId="0" fontId="9" fillId="5" borderId="5" xfId="0" applyFont="1" applyFill="1" applyBorder="1" applyAlignment="1" applyProtection="1">
      <alignment horizontal="left" vertical="top" wrapText="1" indent="1"/>
      <protection locked="0"/>
    </xf>
    <xf numFmtId="0" fontId="9" fillId="5" borderId="8" xfId="0" applyFont="1" applyFill="1" applyBorder="1" applyAlignment="1" applyProtection="1">
      <alignment horizontal="left" vertical="top" wrapText="1" indent="1"/>
      <protection locked="0"/>
    </xf>
    <xf numFmtId="0" fontId="3" fillId="2" borderId="2" xfId="0" applyFont="1" applyFill="1" applyBorder="1" applyAlignment="1" applyProtection="1">
      <alignment horizontal="right"/>
      <protection locked="0"/>
    </xf>
    <xf numFmtId="0" fontId="3" fillId="2" borderId="0" xfId="0" applyFont="1" applyFill="1" applyProtection="1">
      <protection locked="0"/>
    </xf>
    <xf numFmtId="166" fontId="3" fillId="2" borderId="0" xfId="2" applyNumberFormat="1" applyFont="1" applyFill="1" applyBorder="1" applyProtection="1">
      <protection locked="0"/>
    </xf>
    <xf numFmtId="166" fontId="0" fillId="5" borderId="2" xfId="0" applyNumberFormat="1" applyFill="1" applyBorder="1" applyAlignment="1">
      <alignment horizontal="right"/>
    </xf>
    <xf numFmtId="166" fontId="0" fillId="5" borderId="2" xfId="0" applyNumberFormat="1" applyFill="1" applyBorder="1"/>
    <xf numFmtId="0" fontId="2" fillId="5" borderId="1" xfId="0" applyFont="1" applyFill="1" applyBorder="1"/>
    <xf numFmtId="166" fontId="26" fillId="5" borderId="2" xfId="0" applyNumberFormat="1" applyFont="1" applyFill="1" applyBorder="1"/>
    <xf numFmtId="167" fontId="0" fillId="5" borderId="2" xfId="0" applyNumberFormat="1" applyFill="1" applyBorder="1"/>
    <xf numFmtId="167" fontId="0" fillId="5" borderId="3" xfId="0" applyNumberFormat="1" applyFill="1" applyBorder="1"/>
    <xf numFmtId="0" fontId="24" fillId="5" borderId="4" xfId="0" applyFont="1" applyFill="1" applyBorder="1" applyAlignment="1">
      <alignment horizontal="left"/>
    </xf>
    <xf numFmtId="0" fontId="24" fillId="5" borderId="0" xfId="0" applyFont="1" applyFill="1" applyAlignment="1">
      <alignment horizontal="left"/>
    </xf>
    <xf numFmtId="167" fontId="28" fillId="5" borderId="0" xfId="0" applyNumberFormat="1" applyFont="1" applyFill="1" applyAlignment="1">
      <alignment horizontal="right"/>
    </xf>
    <xf numFmtId="167" fontId="24" fillId="5" borderId="0" xfId="0" applyNumberFormat="1" applyFont="1" applyFill="1" applyAlignment="1">
      <alignment horizontal="right"/>
    </xf>
    <xf numFmtId="167" fontId="24" fillId="5" borderId="5" xfId="0" applyNumberFormat="1" applyFont="1" applyFill="1" applyBorder="1" applyAlignment="1">
      <alignment horizontal="right"/>
    </xf>
    <xf numFmtId="0" fontId="24" fillId="5" borderId="4" xfId="0" quotePrefix="1" applyFont="1" applyFill="1" applyBorder="1" applyAlignment="1">
      <alignment horizontal="left"/>
    </xf>
    <xf numFmtId="0" fontId="23" fillId="5" borderId="4" xfId="0" applyFont="1" applyFill="1" applyBorder="1" applyAlignment="1">
      <alignment horizontal="left"/>
    </xf>
    <xf numFmtId="0" fontId="23" fillId="5" borderId="0" xfId="0" applyFont="1" applyFill="1" applyAlignment="1">
      <alignment horizontal="left"/>
    </xf>
    <xf numFmtId="0" fontId="23" fillId="5" borderId="0" xfId="0" applyFont="1" applyFill="1" applyAlignment="1">
      <alignment horizontal="right"/>
    </xf>
    <xf numFmtId="0" fontId="23" fillId="5" borderId="5" xfId="0" applyFont="1" applyFill="1" applyBorder="1" applyAlignment="1">
      <alignment horizontal="right"/>
    </xf>
    <xf numFmtId="0" fontId="4" fillId="5" borderId="0" xfId="0" applyFont="1" applyFill="1" applyAlignment="1">
      <alignment horizontal="left"/>
    </xf>
    <xf numFmtId="167" fontId="29" fillId="5" borderId="0" xfId="0" applyNumberFormat="1" applyFont="1" applyFill="1"/>
    <xf numFmtId="0" fontId="2" fillId="5" borderId="4" xfId="0" applyFont="1" applyFill="1" applyBorder="1"/>
    <xf numFmtId="167" fontId="0" fillId="5" borderId="0" xfId="0" applyNumberFormat="1" applyFill="1"/>
    <xf numFmtId="167" fontId="0" fillId="5" borderId="5" xfId="0" applyNumberFormat="1" applyFill="1" applyBorder="1"/>
    <xf numFmtId="0" fontId="27" fillId="5" borderId="4" xfId="0" applyFont="1" applyFill="1" applyBorder="1" applyAlignment="1">
      <alignment horizontal="left" indent="1"/>
    </xf>
    <xf numFmtId="2" fontId="29" fillId="5" borderId="0" xfId="5" applyNumberFormat="1" applyFont="1" applyFill="1" applyBorder="1"/>
    <xf numFmtId="43" fontId="0" fillId="5" borderId="0" xfId="5" applyFont="1" applyFill="1" applyBorder="1"/>
    <xf numFmtId="43" fontId="0" fillId="5" borderId="5" xfId="5" applyFont="1" applyFill="1" applyBorder="1"/>
    <xf numFmtId="167" fontId="29" fillId="5" borderId="0" xfId="5" applyNumberFormat="1" applyFont="1" applyFill="1" applyBorder="1"/>
    <xf numFmtId="167" fontId="7" fillId="5" borderId="0" xfId="0" applyNumberFormat="1" applyFont="1" applyFill="1"/>
    <xf numFmtId="167" fontId="7" fillId="5" borderId="5" xfId="0" applyNumberFormat="1" applyFont="1" applyFill="1" applyBorder="1"/>
    <xf numFmtId="0" fontId="24" fillId="5" borderId="6" xfId="0" applyFont="1" applyFill="1" applyBorder="1" applyAlignment="1">
      <alignment horizontal="left"/>
    </xf>
    <xf numFmtId="167" fontId="29" fillId="5" borderId="7" xfId="0" applyNumberFormat="1" applyFont="1" applyFill="1" applyBorder="1"/>
    <xf numFmtId="167" fontId="0" fillId="5" borderId="7" xfId="0" applyNumberFormat="1" applyFill="1" applyBorder="1"/>
    <xf numFmtId="167" fontId="0" fillId="5" borderId="8" xfId="0" applyNumberFormat="1" applyFill="1" applyBorder="1"/>
    <xf numFmtId="2" fontId="29" fillId="5" borderId="20" xfId="5" applyNumberFormat="1" applyFont="1" applyFill="1" applyBorder="1"/>
    <xf numFmtId="43" fontId="0" fillId="5" borderId="20" xfId="5" applyFont="1" applyFill="1" applyBorder="1"/>
    <xf numFmtId="43" fontId="0" fillId="5" borderId="17" xfId="5" applyFont="1" applyFill="1" applyBorder="1"/>
    <xf numFmtId="166" fontId="19" fillId="5" borderId="7" xfId="0" applyNumberFormat="1" applyFont="1" applyFill="1" applyBorder="1"/>
    <xf numFmtId="0" fontId="4" fillId="4" borderId="2" xfId="0" applyFont="1" applyFill="1" applyBorder="1" applyAlignment="1">
      <alignment horizontal="left"/>
    </xf>
    <xf numFmtId="166" fontId="19" fillId="5" borderId="0" xfId="0" applyNumberFormat="1" applyFont="1" applyFill="1"/>
    <xf numFmtId="166" fontId="7" fillId="5" borderId="0" xfId="0" applyNumberFormat="1" applyFont="1" applyFill="1"/>
    <xf numFmtId="165" fontId="0" fillId="5" borderId="0" xfId="0" applyNumberFormat="1" applyFill="1"/>
    <xf numFmtId="170" fontId="0" fillId="5" borderId="0" xfId="0" applyNumberFormat="1" applyFill="1"/>
    <xf numFmtId="166" fontId="0" fillId="5" borderId="0" xfId="0" applyNumberFormat="1" applyFill="1"/>
    <xf numFmtId="166" fontId="7" fillId="5" borderId="20" xfId="0" applyNumberFormat="1" applyFont="1" applyFill="1" applyBorder="1"/>
    <xf numFmtId="0" fontId="6" fillId="5" borderId="1" xfId="0" applyFont="1" applyFill="1" applyBorder="1" applyAlignment="1">
      <alignment horizontal="left" indent="1"/>
    </xf>
    <xf numFmtId="166" fontId="19" fillId="5" borderId="2" xfId="0" applyNumberFormat="1" applyFont="1" applyFill="1" applyBorder="1"/>
    <xf numFmtId="166" fontId="7" fillId="5" borderId="2" xfId="0" applyNumberFormat="1" applyFont="1" applyFill="1" applyBorder="1"/>
    <xf numFmtId="166" fontId="7" fillId="5" borderId="3" xfId="0" applyNumberFormat="1" applyFont="1" applyFill="1" applyBorder="1"/>
    <xf numFmtId="0" fontId="6" fillId="5" borderId="4" xfId="0" applyFont="1" applyFill="1" applyBorder="1" applyAlignment="1">
      <alignment horizontal="left" indent="1"/>
    </xf>
    <xf numFmtId="166" fontId="7" fillId="5" borderId="5" xfId="0" applyNumberFormat="1" applyFont="1" applyFill="1" applyBorder="1"/>
    <xf numFmtId="166" fontId="7" fillId="5" borderId="17" xfId="0" applyNumberFormat="1" applyFont="1" applyFill="1" applyBorder="1"/>
    <xf numFmtId="166" fontId="6" fillId="5" borderId="21" xfId="0" applyNumberFormat="1" applyFont="1" applyFill="1" applyBorder="1"/>
    <xf numFmtId="166" fontId="6" fillId="5" borderId="19" xfId="0" applyNumberFormat="1" applyFont="1" applyFill="1" applyBorder="1"/>
    <xf numFmtId="0" fontId="6" fillId="5" borderId="6" xfId="0" applyFont="1" applyFill="1" applyBorder="1"/>
    <xf numFmtId="0" fontId="6" fillId="5" borderId="7" xfId="0" applyFont="1" applyFill="1" applyBorder="1"/>
    <xf numFmtId="14" fontId="0" fillId="5" borderId="2" xfId="0" applyNumberFormat="1" applyFill="1" applyBorder="1"/>
    <xf numFmtId="14" fontId="0" fillId="5" borderId="3" xfId="0" applyNumberFormat="1" applyFill="1" applyBorder="1"/>
    <xf numFmtId="14" fontId="0" fillId="5" borderId="0" xfId="0" applyNumberFormat="1" applyFill="1"/>
    <xf numFmtId="14" fontId="0" fillId="5" borderId="5" xfId="0" applyNumberFormat="1" applyFill="1" applyBorder="1"/>
    <xf numFmtId="165" fontId="0" fillId="5" borderId="5" xfId="0" applyNumberFormat="1" applyFill="1" applyBorder="1"/>
    <xf numFmtId="14" fontId="3" fillId="5" borderId="3" xfId="2" applyNumberFormat="1" applyFont="1" applyFill="1" applyBorder="1" applyAlignment="1" applyProtection="1">
      <alignment horizontal="right" vertical="center"/>
      <protection locked="0"/>
    </xf>
    <xf numFmtId="10" fontId="3" fillId="5" borderId="5" xfId="1" applyNumberFormat="1" applyFont="1" applyFill="1" applyBorder="1" applyAlignment="1" applyProtection="1">
      <alignment vertical="center"/>
      <protection locked="0"/>
    </xf>
    <xf numFmtId="9" fontId="3" fillId="5" borderId="5" xfId="1" applyFont="1" applyFill="1" applyBorder="1" applyAlignment="1" applyProtection="1">
      <alignment vertical="center"/>
      <protection locked="0"/>
    </xf>
    <xf numFmtId="1" fontId="3" fillId="5" borderId="5" xfId="2" applyNumberFormat="1" applyFont="1" applyFill="1" applyBorder="1" applyAlignment="1" applyProtection="1">
      <alignment vertical="center"/>
      <protection locked="0"/>
    </xf>
    <xf numFmtId="1" fontId="3" fillId="5" borderId="8" xfId="2" applyNumberFormat="1" applyFont="1" applyFill="1" applyBorder="1" applyAlignment="1" applyProtection="1">
      <alignment horizontal="right" vertical="center"/>
      <protection locked="0"/>
    </xf>
    <xf numFmtId="10" fontId="3" fillId="5" borderId="2" xfId="0" applyNumberFormat="1" applyFont="1" applyFill="1" applyBorder="1" applyProtection="1">
      <protection locked="0"/>
    </xf>
    <xf numFmtId="10" fontId="3" fillId="5" borderId="3" xfId="0" applyNumberFormat="1" applyFont="1" applyFill="1" applyBorder="1" applyProtection="1">
      <protection locked="0"/>
    </xf>
    <xf numFmtId="10" fontId="3" fillId="5" borderId="0" xfId="0" applyNumberFormat="1" applyFont="1" applyFill="1" applyProtection="1">
      <protection locked="0"/>
    </xf>
    <xf numFmtId="10" fontId="3" fillId="5" borderId="5" xfId="0" applyNumberFormat="1" applyFont="1" applyFill="1" applyBorder="1" applyProtection="1">
      <protection locked="0"/>
    </xf>
    <xf numFmtId="10" fontId="3" fillId="5" borderId="7" xfId="0" applyNumberFormat="1" applyFont="1" applyFill="1" applyBorder="1" applyProtection="1">
      <protection locked="0"/>
    </xf>
    <xf numFmtId="10" fontId="3" fillId="5" borderId="8" xfId="0" applyNumberFormat="1" applyFont="1" applyFill="1" applyBorder="1" applyProtection="1">
      <protection locked="0"/>
    </xf>
    <xf numFmtId="168" fontId="3" fillId="5" borderId="3" xfId="0" applyNumberFormat="1" applyFont="1" applyFill="1" applyBorder="1" applyProtection="1">
      <protection locked="0"/>
    </xf>
    <xf numFmtId="10" fontId="3" fillId="5" borderId="5" xfId="2" applyNumberFormat="1" applyFont="1" applyFill="1" applyBorder="1" applyAlignment="1" applyProtection="1">
      <alignment vertical="center"/>
      <protection locked="0"/>
    </xf>
    <xf numFmtId="10" fontId="3" fillId="5" borderId="8" xfId="2" applyNumberFormat="1" applyFont="1" applyFill="1" applyBorder="1" applyAlignment="1" applyProtection="1">
      <alignment vertical="center"/>
      <protection locked="0"/>
    </xf>
    <xf numFmtId="167" fontId="3" fillId="5" borderId="3" xfId="0" applyNumberFormat="1" applyFont="1" applyFill="1" applyBorder="1" applyAlignment="1" applyProtection="1">
      <alignment horizontal="center"/>
      <protection locked="0"/>
    </xf>
    <xf numFmtId="167" fontId="3" fillId="5" borderId="5" xfId="0" applyNumberFormat="1" applyFont="1" applyFill="1" applyBorder="1" applyAlignment="1" applyProtection="1">
      <alignment horizontal="center"/>
      <protection locked="0"/>
    </xf>
    <xf numFmtId="167" fontId="3" fillId="5" borderId="8" xfId="0" applyNumberFormat="1" applyFont="1" applyFill="1" applyBorder="1" applyAlignment="1" applyProtection="1">
      <alignment horizontal="center"/>
      <protection locked="0"/>
    </xf>
    <xf numFmtId="0" fontId="11" fillId="9" borderId="0" xfId="0" applyFont="1" applyFill="1"/>
    <xf numFmtId="0" fontId="36" fillId="11" borderId="0" xfId="0" applyFont="1" applyFill="1"/>
    <xf numFmtId="0" fontId="36" fillId="11" borderId="1" xfId="0" applyFont="1" applyFill="1" applyBorder="1"/>
    <xf numFmtId="0" fontId="36" fillId="11" borderId="2" xfId="0" applyFont="1" applyFill="1" applyBorder="1"/>
    <xf numFmtId="10" fontId="36" fillId="11" borderId="3" xfId="0" applyNumberFormat="1" applyFont="1" applyFill="1" applyBorder="1"/>
    <xf numFmtId="0" fontId="36" fillId="11" borderId="4" xfId="0" applyFont="1" applyFill="1" applyBorder="1"/>
    <xf numFmtId="10" fontId="36" fillId="11" borderId="5" xfId="0" applyNumberFormat="1" applyFont="1" applyFill="1" applyBorder="1"/>
    <xf numFmtId="9" fontId="36" fillId="11" borderId="5" xfId="1" applyFont="1" applyFill="1" applyBorder="1"/>
    <xf numFmtId="10" fontId="36" fillId="11" borderId="5" xfId="1" applyNumberFormat="1" applyFont="1" applyFill="1" applyBorder="1"/>
    <xf numFmtId="0" fontId="36" fillId="11" borderId="6" xfId="0" applyFont="1" applyFill="1" applyBorder="1"/>
    <xf numFmtId="0" fontId="36" fillId="11" borderId="7" xfId="0" applyFont="1" applyFill="1" applyBorder="1"/>
    <xf numFmtId="10" fontId="36" fillId="11" borderId="8" xfId="1" applyNumberFormat="1" applyFont="1" applyFill="1" applyBorder="1"/>
    <xf numFmtId="0" fontId="8" fillId="2" borderId="4" xfId="0" applyFont="1" applyFill="1" applyBorder="1" applyAlignment="1">
      <alignment horizontal="left" vertical="center"/>
    </xf>
    <xf numFmtId="0" fontId="8" fillId="2" borderId="5" xfId="0" applyFont="1" applyFill="1" applyBorder="1" applyAlignment="1">
      <alignment horizontal="right" vertical="center"/>
    </xf>
    <xf numFmtId="0" fontId="37" fillId="9" borderId="9" xfId="0" applyFont="1" applyFill="1" applyBorder="1"/>
    <xf numFmtId="0" fontId="11" fillId="9" borderId="10" xfId="0" applyFont="1" applyFill="1" applyBorder="1"/>
    <xf numFmtId="0" fontId="11" fillId="9" borderId="11" xfId="0" applyFont="1" applyFill="1" applyBorder="1"/>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165" fontId="7" fillId="2" borderId="12" xfId="2" applyNumberFormat="1" applyFont="1" applyFill="1" applyBorder="1" applyAlignment="1">
      <alignment horizontal="center" vertical="center"/>
    </xf>
    <xf numFmtId="165" fontId="7" fillId="2" borderId="13" xfId="2" applyNumberFormat="1" applyFont="1" applyFill="1" applyBorder="1" applyAlignment="1">
      <alignment horizontal="center" vertical="center"/>
    </xf>
    <xf numFmtId="165" fontId="7" fillId="2" borderId="14" xfId="2" applyNumberFormat="1" applyFont="1" applyFill="1" applyBorder="1" applyAlignment="1">
      <alignment horizontal="center" vertical="center"/>
    </xf>
    <xf numFmtId="165" fontId="14" fillId="2" borderId="12" xfId="2" applyNumberFormat="1" applyFont="1" applyFill="1" applyBorder="1" applyAlignment="1">
      <alignment horizontal="center" vertical="center"/>
    </xf>
    <xf numFmtId="165" fontId="14" fillId="2" borderId="13" xfId="2" applyNumberFormat="1" applyFont="1" applyFill="1" applyBorder="1" applyAlignment="1">
      <alignment horizontal="center" vertical="center"/>
    </xf>
    <xf numFmtId="165" fontId="14" fillId="2" borderId="14" xfId="2"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7" fillId="2" borderId="12" xfId="2" applyNumberFormat="1" applyFont="1" applyFill="1" applyBorder="1" applyAlignment="1">
      <alignment horizontal="center" vertical="center"/>
    </xf>
    <xf numFmtId="0" fontId="7" fillId="2" borderId="13" xfId="2" applyNumberFormat="1" applyFont="1" applyFill="1" applyBorder="1" applyAlignment="1">
      <alignment horizontal="center" vertical="center"/>
    </xf>
    <xf numFmtId="0" fontId="7" fillId="2" borderId="14" xfId="2" applyNumberFormat="1" applyFont="1" applyFill="1" applyBorder="1" applyAlignment="1">
      <alignment horizontal="center" vertical="center"/>
    </xf>
    <xf numFmtId="0" fontId="14" fillId="2" borderId="12" xfId="2" applyNumberFormat="1" applyFont="1" applyFill="1" applyBorder="1" applyAlignment="1">
      <alignment horizontal="center" vertical="center"/>
    </xf>
    <xf numFmtId="0" fontId="14" fillId="2" borderId="13" xfId="2" applyNumberFormat="1" applyFont="1" applyFill="1" applyBorder="1" applyAlignment="1">
      <alignment horizontal="center" vertical="center"/>
    </xf>
    <xf numFmtId="0" fontId="14" fillId="2" borderId="14" xfId="2"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4" fillId="3" borderId="4" xfId="0" applyFont="1" applyFill="1" applyBorder="1" applyAlignment="1">
      <alignment horizontal="center"/>
    </xf>
    <xf numFmtId="0" fontId="4" fillId="3" borderId="0" xfId="0" applyFont="1" applyFill="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1" xfId="0" applyFont="1" applyFill="1" applyBorder="1" applyAlignment="1">
      <alignment horizontal="center"/>
    </xf>
    <xf numFmtId="165" fontId="3" fillId="2" borderId="12" xfId="2" applyNumberFormat="1" applyFont="1" applyFill="1" applyBorder="1" applyAlignment="1" applyProtection="1">
      <alignment horizontal="center" vertical="center"/>
      <protection locked="0"/>
    </xf>
    <xf numFmtId="165" fontId="3" fillId="2" borderId="13" xfId="2" applyNumberFormat="1" applyFont="1" applyFill="1" applyBorder="1" applyAlignment="1" applyProtection="1">
      <alignment horizontal="center" vertical="center"/>
      <protection locked="0"/>
    </xf>
    <xf numFmtId="165" fontId="3" fillId="2" borderId="14" xfId="2" applyNumberFormat="1"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1" fillId="3" borderId="0" xfId="0" applyFont="1" applyFill="1" applyAlignment="1">
      <alignment horizontal="center" vertic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4" fillId="3" borderId="11" xfId="0" applyFont="1" applyFill="1" applyBorder="1" applyAlignment="1">
      <alignment horizontal="center"/>
    </xf>
  </cellXfs>
  <cellStyles count="12">
    <cellStyle name="____entry2____" xfId="9" xr:uid="{3007CC0E-6E4F-4A2C-8C26-04D6CD703D25}"/>
    <cellStyle name="____Headers____" xfId="8" xr:uid="{71F69576-C537-4433-8E15-A63E33ED2A94}"/>
    <cellStyle name="___color_heading____" xfId="6" xr:uid="{3EE30368-8D0C-4046-ADC2-9D5817CAF2CE}"/>
    <cellStyle name="__hyperlink__" xfId="11" xr:uid="{74BE153C-984D-4010-9AA1-C5437B7D90C8}"/>
    <cellStyle name="__outside__" xfId="7" xr:uid="{38D5FF78-FC14-48CD-9BE5-4647DECDCD80}"/>
    <cellStyle name="Fill_in_data" xfId="10" xr:uid="{AD1FDB33-AB06-4E47-B8F8-009D293996F5}"/>
    <cellStyle name="Hyperlink" xfId="4" builtinId="8"/>
    <cellStyle name="Komma" xfId="5" builtinId="3"/>
    <cellStyle name="Normal 4" xfId="3" xr:uid="{48D1B9A1-60F4-4D49-B95E-EA6BED849DC8}"/>
    <cellStyle name="Procent" xfId="1" builtinId="5"/>
    <cellStyle name="Standaard" xfId="0" builtinId="0"/>
    <cellStyle name="Valuta" xfId="2" builtinId="4"/>
  </cellStyles>
  <dxfs count="15">
    <dxf>
      <font>
        <color theme="0"/>
      </font>
      <fill>
        <patternFill>
          <fgColor theme="0"/>
          <bgColor theme="0"/>
        </patternFill>
      </fill>
      <border>
        <left/>
        <right/>
        <top/>
        <bottom/>
        <vertical/>
        <horizontal/>
      </border>
    </dxf>
    <dxf>
      <font>
        <color rgb="FFEEE7CA"/>
      </font>
    </dxf>
    <dxf>
      <font>
        <color rgb="FF006100"/>
      </font>
      <fill>
        <patternFill>
          <bgColor rgb="FFC6EFCE"/>
        </patternFill>
      </fill>
    </dxf>
    <dxf>
      <font>
        <color rgb="FF9C0006"/>
      </font>
      <fill>
        <patternFill>
          <bgColor rgb="FFFFC7CE"/>
        </patternFill>
      </fill>
    </dxf>
    <dxf>
      <font>
        <strike val="0"/>
        <color rgb="FFEEE7CA"/>
      </font>
      <numFmt numFmtId="172" formatCode="&quot;&quo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rgb="FFEEE7CA"/>
      </font>
      <numFmt numFmtId="172" formatCode="&quot;&quot;"/>
    </dxf>
    <dxf>
      <font>
        <b val="0"/>
        <i/>
        <color theme="0" tint="-0.499984740745262"/>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4472C4"/>
      <color rgb="FFE3D7A5"/>
      <color rgb="FF0000FF"/>
      <color rgb="FF0099DA"/>
      <color rgb="FF172C51"/>
      <color rgb="FF0A1F3A"/>
      <color rgb="FFEEE7CA"/>
      <color rgb="FFFFFFFF"/>
      <color rgb="FF4A4A4A"/>
      <color rgb="FFFAF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213946</xdr:colOff>
      <xdr:row>0</xdr:row>
      <xdr:rowOff>134083</xdr:rowOff>
    </xdr:from>
    <xdr:to>
      <xdr:col>1</xdr:col>
      <xdr:colOff>2726865</xdr:colOff>
      <xdr:row>2</xdr:row>
      <xdr:rowOff>69428</xdr:rowOff>
    </xdr:to>
    <xdr:grpSp>
      <xdr:nvGrpSpPr>
        <xdr:cNvPr id="2" name="Groep 9">
          <a:extLst>
            <a:ext uri="{FF2B5EF4-FFF2-40B4-BE49-F238E27FC236}">
              <a16:creationId xmlns:a16="http://schemas.microsoft.com/office/drawing/2014/main" id="{B7C67BD0-58B1-438C-BE48-FF1778C03176}"/>
            </a:ext>
          </a:extLst>
        </xdr:cNvPr>
        <xdr:cNvGrpSpPr/>
      </xdr:nvGrpSpPr>
      <xdr:grpSpPr>
        <a:xfrm>
          <a:off x="411502" y="134083"/>
          <a:ext cx="2512919" cy="535067"/>
          <a:chOff x="560293" y="156882"/>
          <a:chExt cx="2510118" cy="537883"/>
        </a:xfrm>
      </xdr:grpSpPr>
      <xdr:pic>
        <xdr:nvPicPr>
          <xdr:cNvPr id="3" name="Picture 1" descr="Contact | Aedes">
            <a:extLst>
              <a:ext uri="{FF2B5EF4-FFF2-40B4-BE49-F238E27FC236}">
                <a16:creationId xmlns:a16="http://schemas.microsoft.com/office/drawing/2014/main" id="{5054FB03-81EF-9736-838C-E0FEADD625D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2">
            <a:extLst>
              <a:ext uri="{FF2B5EF4-FFF2-40B4-BE49-F238E27FC236}">
                <a16:creationId xmlns:a16="http://schemas.microsoft.com/office/drawing/2014/main" id="{47219E54-8D04-A2E8-3EA6-EB5E53E8D072}"/>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twoCellAnchor>
    <xdr:from>
      <xdr:col>1</xdr:col>
      <xdr:colOff>95248</xdr:colOff>
      <xdr:row>5</xdr:row>
      <xdr:rowOff>74086</xdr:rowOff>
    </xdr:from>
    <xdr:to>
      <xdr:col>7</xdr:col>
      <xdr:colOff>1820333</xdr:colOff>
      <xdr:row>18</xdr:row>
      <xdr:rowOff>127001</xdr:rowOff>
    </xdr:to>
    <xdr:sp macro="" textlink="">
      <xdr:nvSpPr>
        <xdr:cNvPr id="5" name="Tekstvak 4">
          <a:extLst>
            <a:ext uri="{FF2B5EF4-FFF2-40B4-BE49-F238E27FC236}">
              <a16:creationId xmlns:a16="http://schemas.microsoft.com/office/drawing/2014/main" id="{C18C0412-EE6C-C3F1-FCED-85D4133D9701}"/>
            </a:ext>
          </a:extLst>
        </xdr:cNvPr>
        <xdr:cNvSpPr txBox="1"/>
      </xdr:nvSpPr>
      <xdr:spPr>
        <a:xfrm>
          <a:off x="285748" y="1259419"/>
          <a:ext cx="12689418" cy="2529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0">
              <a:solidFill>
                <a:schemeClr val="dk1"/>
              </a:solidFill>
              <a:effectLst/>
              <a:latin typeface="+mn-lt"/>
              <a:ea typeface="+mn-ea"/>
              <a:cs typeface="+mn-cs"/>
            </a:rPr>
            <a:t>Dit instrument is opgesteld in opdracht van Aedes en de NEPROM. Het doel van dit instrument is transparantie en wederzijds begrip creëert tussen woningcorporaties en projectontwikkelaars bij (sloop) nieuwbouwprojecten. Beter begrip van elkaars bedrijfsvoering en belangen is een essentiële schakel om de gezamenlijke woningbouwopgave te realiseren. Dit instrument biedt de volgende inzichten:</a:t>
          </a:r>
        </a:p>
        <a:p>
          <a:endParaRPr lang="nl-NL" sz="1200" b="0">
            <a:solidFill>
              <a:schemeClr val="dk1"/>
            </a:solidFill>
            <a:effectLst/>
            <a:latin typeface="+mn-lt"/>
            <a:ea typeface="+mn-ea"/>
            <a:cs typeface="+mn-cs"/>
          </a:endParaRPr>
        </a:p>
        <a:p>
          <a:r>
            <a:rPr lang="nl-NL" sz="1200" b="0">
              <a:solidFill>
                <a:schemeClr val="dk1"/>
              </a:solidFill>
              <a:effectLst/>
              <a:latin typeface="+mn-lt"/>
              <a:ea typeface="+mn-ea"/>
              <a:cs typeface="+mn-cs"/>
            </a:rPr>
            <a:t>Voor ontwikkelaars:</a:t>
          </a:r>
        </a:p>
        <a:p>
          <a:r>
            <a:rPr lang="nl-NL" sz="1200" b="0">
              <a:solidFill>
                <a:schemeClr val="dk1"/>
              </a:solidFill>
              <a:effectLst/>
              <a:latin typeface="+mn-lt"/>
              <a:ea typeface="+mn-ea"/>
              <a:cs typeface="+mn-cs"/>
            </a:rPr>
            <a:t>• Hoe corporaties investeringen beoordelen (kengetallen, uitgangspunten, governance-aspecten)</a:t>
          </a:r>
        </a:p>
        <a:p>
          <a:r>
            <a:rPr lang="nl-NL" sz="1200" b="0">
              <a:solidFill>
                <a:schemeClr val="dk1"/>
              </a:solidFill>
              <a:effectLst/>
              <a:latin typeface="+mn-lt"/>
              <a:ea typeface="+mn-ea"/>
              <a:cs typeface="+mn-cs"/>
            </a:rPr>
            <a:t>• Hoe het sociale perspectief wordt meegewogen</a:t>
          </a:r>
        </a:p>
        <a:p>
          <a:endParaRPr lang="nl-NL" sz="1200" b="0">
            <a:solidFill>
              <a:schemeClr val="dk1"/>
            </a:solidFill>
            <a:effectLst/>
            <a:latin typeface="+mn-lt"/>
            <a:ea typeface="+mn-ea"/>
            <a:cs typeface="+mn-cs"/>
          </a:endParaRPr>
        </a:p>
        <a:p>
          <a:r>
            <a:rPr lang="nl-NL" sz="1200" b="0">
              <a:solidFill>
                <a:schemeClr val="dk1"/>
              </a:solidFill>
              <a:effectLst/>
              <a:latin typeface="+mn-lt"/>
              <a:ea typeface="+mn-ea"/>
              <a:cs typeface="+mn-cs"/>
            </a:rPr>
            <a:t>Voor corporaties:</a:t>
          </a:r>
        </a:p>
        <a:p>
          <a:r>
            <a:rPr lang="nl-NL" sz="1200" b="0">
              <a:solidFill>
                <a:schemeClr val="dk1"/>
              </a:solidFill>
              <a:effectLst/>
              <a:latin typeface="+mn-lt"/>
              <a:ea typeface="+mn-ea"/>
              <a:cs typeface="+mn-cs"/>
            </a:rPr>
            <a:t>• Hoe de integrale stichtingskostenopzet van ontwikkelaars tot stand komt (uitgangspunten, bandbreedtes voor bijvoorbeeld algemene kosten en winst &amp; risico)</a:t>
          </a:r>
        </a:p>
        <a:p>
          <a:r>
            <a:rPr lang="nl-NL" sz="1200" b="0">
              <a:solidFill>
                <a:schemeClr val="dk1"/>
              </a:solidFill>
              <a:effectLst/>
              <a:latin typeface="+mn-lt"/>
              <a:ea typeface="+mn-ea"/>
              <a:cs typeface="+mn-cs"/>
            </a:rPr>
            <a:t>• Inzicht in het besluitvormingsproces van ontwikkelaars</a:t>
          </a:r>
        </a:p>
        <a:p>
          <a:endParaRPr lang="nl-NL" sz="1200" b="0">
            <a:solidFill>
              <a:schemeClr val="dk1"/>
            </a:solidFill>
            <a:effectLst/>
            <a:latin typeface="+mn-lt"/>
            <a:ea typeface="+mn-ea"/>
            <a:cs typeface="+mn-cs"/>
          </a:endParaRPr>
        </a:p>
        <a:p>
          <a:r>
            <a:rPr lang="nl-NL" sz="1200" b="0">
              <a:solidFill>
                <a:schemeClr val="dk1"/>
              </a:solidFill>
              <a:effectLst/>
              <a:latin typeface="+mn-lt"/>
              <a:ea typeface="+mn-ea"/>
              <a:cs typeface="+mn-cs"/>
            </a:rPr>
            <a:t>Het model dient als gespreksinstrument om relevante aspecten inzichtelijk te maken, niet als gedetailleerde weergave van bestaande rekenmodellen die corporaties en ontwikkelaars toepassen. </a:t>
          </a:r>
        </a:p>
        <a:p>
          <a:endParaRPr lang="nl-NL" sz="1200"/>
        </a:p>
      </xdr:txBody>
    </xdr:sp>
    <xdr:clientData/>
  </xdr:twoCellAnchor>
  <xdr:twoCellAnchor>
    <xdr:from>
      <xdr:col>1</xdr:col>
      <xdr:colOff>95248</xdr:colOff>
      <xdr:row>38</xdr:row>
      <xdr:rowOff>98427</xdr:rowOff>
    </xdr:from>
    <xdr:to>
      <xdr:col>7</xdr:col>
      <xdr:colOff>1820333</xdr:colOff>
      <xdr:row>62</xdr:row>
      <xdr:rowOff>133350</xdr:rowOff>
    </xdr:to>
    <xdr:sp macro="" textlink="">
      <xdr:nvSpPr>
        <xdr:cNvPr id="8" name="Tekstvak 7">
          <a:extLst>
            <a:ext uri="{FF2B5EF4-FFF2-40B4-BE49-F238E27FC236}">
              <a16:creationId xmlns:a16="http://schemas.microsoft.com/office/drawing/2014/main" id="{9A0BFE86-9779-AE2A-737D-4C57AED6AB8D}"/>
            </a:ext>
          </a:extLst>
        </xdr:cNvPr>
        <xdr:cNvSpPr txBox="1"/>
      </xdr:nvSpPr>
      <xdr:spPr>
        <a:xfrm>
          <a:off x="285748" y="7566027"/>
          <a:ext cx="12678835" cy="4606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1">
              <a:solidFill>
                <a:schemeClr val="dk1"/>
              </a:solidFill>
              <a:effectLst/>
              <a:latin typeface="+mn-lt"/>
              <a:ea typeface="+mn-ea"/>
              <a:cs typeface="+mn-cs"/>
            </a:rPr>
            <a:t>STAP 1</a:t>
          </a:r>
        </a:p>
        <a:p>
          <a:r>
            <a:rPr lang="nl-NL" sz="1200" b="0">
              <a:solidFill>
                <a:schemeClr val="dk1"/>
              </a:solidFill>
              <a:effectLst/>
              <a:latin typeface="+mn-lt"/>
              <a:ea typeface="+mn-ea"/>
              <a:cs typeface="+mn-cs"/>
            </a:rPr>
            <a:t>Zowel</a:t>
          </a:r>
          <a:r>
            <a:rPr lang="nl-NL" sz="1200" b="0" baseline="0">
              <a:solidFill>
                <a:schemeClr val="dk1"/>
              </a:solidFill>
              <a:effectLst/>
              <a:latin typeface="+mn-lt"/>
              <a:ea typeface="+mn-ea"/>
              <a:cs typeface="+mn-cs"/>
            </a:rPr>
            <a:t> woningcorporatie als ontwikkelaar vullen beiden een blad met algemene kenmerken, financiële kengetallen en maatschappelijke overwegingen.</a:t>
          </a:r>
        </a:p>
        <a:p>
          <a:endParaRPr lang="nl-NL" sz="1200" b="1">
            <a:solidFill>
              <a:schemeClr val="dk1"/>
            </a:solidFill>
            <a:effectLst/>
            <a:latin typeface="+mn-lt"/>
            <a:ea typeface="+mn-ea"/>
            <a:cs typeface="+mn-cs"/>
          </a:endParaRPr>
        </a:p>
        <a:p>
          <a:r>
            <a:rPr lang="nl-NL" sz="1200" b="1">
              <a:solidFill>
                <a:schemeClr val="dk1"/>
              </a:solidFill>
              <a:effectLst/>
              <a:latin typeface="+mn-lt"/>
              <a:ea typeface="+mn-ea"/>
              <a:cs typeface="+mn-cs"/>
            </a:rPr>
            <a:t>Toelichting</a:t>
          </a:r>
          <a:r>
            <a:rPr lang="nl-NL" sz="1200" b="1" baseline="0">
              <a:solidFill>
                <a:schemeClr val="dk1"/>
              </a:solidFill>
              <a:effectLst/>
              <a:latin typeface="+mn-lt"/>
              <a:ea typeface="+mn-ea"/>
              <a:cs typeface="+mn-cs"/>
            </a:rPr>
            <a:t> invoer blad woningcorporatie: </a:t>
          </a:r>
          <a:endParaRPr lang="nl-NL" sz="1200" b="1">
            <a:solidFill>
              <a:schemeClr val="dk1"/>
            </a:solidFill>
            <a:effectLst/>
            <a:latin typeface="+mn-lt"/>
            <a:ea typeface="+mn-ea"/>
            <a:cs typeface="+mn-cs"/>
          </a:endParaRPr>
        </a:p>
        <a:p>
          <a:pPr lvl="0"/>
          <a:r>
            <a:rPr lang="nl-NL" sz="1200">
              <a:solidFill>
                <a:schemeClr val="dk1"/>
              </a:solidFill>
              <a:effectLst/>
              <a:latin typeface="+mn-lt"/>
              <a:ea typeface="+mn-ea"/>
              <a:cs typeface="+mn-cs"/>
            </a:rPr>
            <a:t>1. Start met het invullen van de projectkenmerken. </a:t>
          </a:r>
        </a:p>
        <a:p>
          <a:pPr lvl="0"/>
          <a:r>
            <a:rPr lang="nl-NL" sz="1200">
              <a:solidFill>
                <a:schemeClr val="dk1"/>
              </a:solidFill>
              <a:effectLst/>
              <a:latin typeface="+mn-lt"/>
              <a:ea typeface="+mn-ea"/>
              <a:cs typeface="+mn-cs"/>
            </a:rPr>
            <a:t>2 Vul de kenmerken per woning in.</a:t>
          </a:r>
        </a:p>
        <a:p>
          <a:pPr lvl="0"/>
          <a:r>
            <a:rPr lang="nl-NL" sz="1200">
              <a:solidFill>
                <a:schemeClr val="dk1"/>
              </a:solidFill>
              <a:effectLst/>
              <a:latin typeface="+mn-lt"/>
              <a:ea typeface="+mn-ea"/>
              <a:cs typeface="+mn-cs"/>
            </a:rPr>
            <a:t>3. Vul vervolgens de reeks onderhoud in op het blad “Woco – Reeks onderhoud”. Deze komt terug als het gemiddeld onderhoud over 60 jaar op het blad “Woco – Project”.</a:t>
          </a:r>
        </a:p>
        <a:p>
          <a:pPr lvl="0"/>
          <a:r>
            <a:rPr lang="nl-NL" sz="1200">
              <a:solidFill>
                <a:schemeClr val="dk1"/>
              </a:solidFill>
              <a:effectLst/>
              <a:latin typeface="+mn-lt"/>
              <a:ea typeface="+mn-ea"/>
              <a:cs typeface="+mn-cs"/>
            </a:rPr>
            <a:t>4. Vul de leegwaarde en marktwaarde per woning in.</a:t>
          </a:r>
        </a:p>
        <a:p>
          <a:pPr lvl="0"/>
          <a:r>
            <a:rPr lang="nl-NL" sz="1200">
              <a:solidFill>
                <a:schemeClr val="dk1"/>
              </a:solidFill>
              <a:effectLst/>
              <a:latin typeface="+mn-lt"/>
              <a:ea typeface="+mn-ea"/>
              <a:cs typeface="+mn-cs"/>
            </a:rPr>
            <a:t>5. Vul vervolgens het kostenoverzicht van het project in (totaal project). Let op, het gaat hier dus om de totale kosten van het project, niet per woning.</a:t>
          </a:r>
        </a:p>
        <a:p>
          <a:pPr lvl="0"/>
          <a:r>
            <a:rPr lang="nl-NL" sz="1200">
              <a:solidFill>
                <a:schemeClr val="dk1"/>
              </a:solidFill>
              <a:effectLst/>
              <a:latin typeface="+mn-lt"/>
              <a:ea typeface="+mn-ea"/>
              <a:cs typeface="+mn-cs"/>
            </a:rPr>
            <a:t>6. In kolom D, de cellen met […] kunnen gebruikt worden voor eventuele toelichting bij de input.</a:t>
          </a:r>
        </a:p>
        <a:p>
          <a:pPr lvl="0"/>
          <a:r>
            <a:rPr lang="nl-NL" sz="1200">
              <a:solidFill>
                <a:schemeClr val="dk1"/>
              </a:solidFill>
              <a:effectLst/>
              <a:latin typeface="+mn-lt"/>
              <a:ea typeface="+mn-ea"/>
              <a:cs typeface="+mn-cs"/>
            </a:rPr>
            <a:t>7. Vul de toelichting en prioritering in onder het kopje “Input – Maatschappelijke overwegingen en Proces”. De onderdelen in kolom F kunnen naar wens aangepast worden.</a:t>
          </a:r>
        </a:p>
        <a:p>
          <a:endParaRPr lang="nl-NL" sz="1200" b="1">
            <a:solidFill>
              <a:schemeClr val="dk1"/>
            </a:solidFill>
            <a:effectLst/>
            <a:latin typeface="+mn-lt"/>
            <a:ea typeface="+mn-ea"/>
            <a:cs typeface="+mn-cs"/>
          </a:endParaRPr>
        </a:p>
        <a:p>
          <a:r>
            <a:rPr lang="nl-NL" sz="1200" b="1">
              <a:solidFill>
                <a:schemeClr val="dk1"/>
              </a:solidFill>
              <a:effectLst/>
              <a:latin typeface="+mn-lt"/>
              <a:ea typeface="+mn-ea"/>
              <a:cs typeface="+mn-cs"/>
            </a:rPr>
            <a:t>Toelichting invoer blad ontwikkelaar:</a:t>
          </a:r>
          <a:endParaRPr lang="nl-NL" sz="1200">
            <a:solidFill>
              <a:schemeClr val="dk1"/>
            </a:solidFill>
            <a:effectLst/>
            <a:latin typeface="+mn-lt"/>
            <a:ea typeface="+mn-ea"/>
            <a:cs typeface="+mn-cs"/>
          </a:endParaRPr>
        </a:p>
        <a:p>
          <a:pPr lvl="0"/>
          <a:r>
            <a:rPr lang="nl-NL" sz="1200">
              <a:solidFill>
                <a:schemeClr val="dk1"/>
              </a:solidFill>
              <a:effectLst/>
              <a:latin typeface="+mn-lt"/>
              <a:ea typeface="+mn-ea"/>
              <a:cs typeface="+mn-cs"/>
            </a:rPr>
            <a:t>1. Start met het invullen van de projectkenmerken</a:t>
          </a:r>
        </a:p>
        <a:p>
          <a:pPr lvl="0"/>
          <a:r>
            <a:rPr lang="nl-NL" sz="1200">
              <a:solidFill>
                <a:schemeClr val="dk1"/>
              </a:solidFill>
              <a:effectLst/>
              <a:latin typeface="+mn-lt"/>
              <a:ea typeface="+mn-ea"/>
              <a:cs typeface="+mn-cs"/>
            </a:rPr>
            <a:t>2. Vul de kenmerken per woning in</a:t>
          </a:r>
        </a:p>
        <a:p>
          <a:pPr lvl="0"/>
          <a:r>
            <a:rPr lang="nl-NL" sz="1200">
              <a:solidFill>
                <a:schemeClr val="dk1"/>
              </a:solidFill>
              <a:effectLst/>
              <a:latin typeface="+mn-lt"/>
              <a:ea typeface="+mn-ea"/>
              <a:cs typeface="+mn-cs"/>
            </a:rPr>
            <a:t>3. Vul de totale opbrengsten (excl. BTW) van het project in</a:t>
          </a:r>
        </a:p>
        <a:p>
          <a:pPr lvl="0"/>
          <a:r>
            <a:rPr lang="nl-NL" sz="1200">
              <a:solidFill>
                <a:schemeClr val="dk1"/>
              </a:solidFill>
              <a:effectLst/>
              <a:latin typeface="+mn-lt"/>
              <a:ea typeface="+mn-ea"/>
              <a:cs typeface="+mn-cs"/>
            </a:rPr>
            <a:t>4. Vul de totale kosten (excl. BTW) van het project in. Voor de berekening van de grondkosten is er de keuze tussen twee type berekening. Dit kan een simpele berekening zijn “Grondkosten (simpel)” , waarbij er slechts de totale grondkosten van het project in gevuld hoeft te worden. Bij de berekening van de “Volledige GREX” dient men de GREX in te vullen op het blad “Ontwikkelaar – GREX”. Zowel “Grondkosten (simpel)” als “Volledige GREX” zijn exclusief inbrengwaarde van de grond.</a:t>
          </a:r>
        </a:p>
        <a:p>
          <a:pPr lvl="0"/>
          <a:r>
            <a:rPr lang="nl-NL" sz="1200">
              <a:solidFill>
                <a:schemeClr val="dk1"/>
              </a:solidFill>
              <a:effectLst/>
              <a:latin typeface="+mn-lt"/>
              <a:ea typeface="+mn-ea"/>
              <a:cs typeface="+mn-cs"/>
            </a:rPr>
            <a:t>5. In kolom D, de cellen met […] kunnen gebruikt worden voor eventuele toelichting bij de input.</a:t>
          </a:r>
        </a:p>
        <a:p>
          <a:pPr lvl="0"/>
          <a:r>
            <a:rPr lang="nl-NL" sz="1200">
              <a:solidFill>
                <a:schemeClr val="dk1"/>
              </a:solidFill>
              <a:effectLst/>
              <a:latin typeface="+mn-lt"/>
              <a:ea typeface="+mn-ea"/>
              <a:cs typeface="+mn-cs"/>
            </a:rPr>
            <a:t>6. Vul de toelichting en prioritering in onder het kopje “Input – Maatschappelijke overwegingen en Proces”. De onderdelen in kolom F kunnen naar wens aangepast worden.</a:t>
          </a:r>
        </a:p>
        <a:p>
          <a:pPr lvl="0"/>
          <a:endParaRPr lang="nl-NL" sz="1200">
            <a:solidFill>
              <a:schemeClr val="dk1"/>
            </a:solidFill>
            <a:effectLst/>
            <a:latin typeface="+mn-lt"/>
            <a:ea typeface="+mn-ea"/>
            <a:cs typeface="+mn-cs"/>
          </a:endParaRPr>
        </a:p>
        <a:p>
          <a:r>
            <a:rPr lang="nl-NL" sz="1200" b="1" baseline="0">
              <a:solidFill>
                <a:schemeClr val="dk1"/>
              </a:solidFill>
              <a:effectLst/>
              <a:latin typeface="+mn-lt"/>
              <a:ea typeface="+mn-ea"/>
              <a:cs typeface="+mn-cs"/>
            </a:rPr>
            <a:t>STAP 2</a:t>
          </a:r>
          <a:endParaRPr lang="nl-NL" sz="1200">
            <a:effectLst/>
          </a:endParaRPr>
        </a:p>
        <a:p>
          <a:pPr eaLnBrk="1" fontAlgn="auto" latinLnBrk="0" hangingPunct="1"/>
          <a:r>
            <a:rPr lang="nl-NL" sz="1200" b="0">
              <a:solidFill>
                <a:schemeClr val="dk1"/>
              </a:solidFill>
              <a:effectLst/>
              <a:latin typeface="+mn-lt"/>
              <a:ea typeface="+mn-ea"/>
              <a:cs typeface="+mn-cs"/>
            </a:rPr>
            <a:t>Het</a:t>
          </a:r>
          <a:r>
            <a:rPr lang="nl-NL" sz="1200" b="0" baseline="0">
              <a:solidFill>
                <a:schemeClr val="dk1"/>
              </a:solidFill>
              <a:effectLst/>
              <a:latin typeface="+mn-lt"/>
              <a:ea typeface="+mn-ea"/>
              <a:cs typeface="+mn-cs"/>
            </a:rPr>
            <a:t> gepspreksblad plot de voornaamste KPI's en overwegingen van beide partijen naast elkaar, dit blad kan als onderligger dienen voor een gezamenlijk gesprek.</a:t>
          </a:r>
          <a:endParaRPr lang="nl-NL" sz="1200">
            <a:effectLst/>
          </a:endParaRPr>
        </a:p>
      </xdr:txBody>
    </xdr:sp>
    <xdr:clientData/>
  </xdr:twoCellAnchor>
  <xdr:twoCellAnchor>
    <xdr:from>
      <xdr:col>1</xdr:col>
      <xdr:colOff>232833</xdr:colOff>
      <xdr:row>26</xdr:row>
      <xdr:rowOff>105924</xdr:rowOff>
    </xdr:from>
    <xdr:to>
      <xdr:col>1</xdr:col>
      <xdr:colOff>1143000</xdr:colOff>
      <xdr:row>27</xdr:row>
      <xdr:rowOff>95424</xdr:rowOff>
    </xdr:to>
    <xdr:sp macro="" textlink="">
      <xdr:nvSpPr>
        <xdr:cNvPr id="10" name="Rechthoek: afgeronde hoeken 9">
          <a:extLst>
            <a:ext uri="{FF2B5EF4-FFF2-40B4-BE49-F238E27FC236}">
              <a16:creationId xmlns:a16="http://schemas.microsoft.com/office/drawing/2014/main" id="{D62C4D06-9EEF-D567-1275-8B132FA672BB}"/>
            </a:ext>
          </a:extLst>
        </xdr:cNvPr>
        <xdr:cNvSpPr/>
      </xdr:nvSpPr>
      <xdr:spPr>
        <a:xfrm>
          <a:off x="423333" y="5288838"/>
          <a:ext cx="910167" cy="180000"/>
        </a:xfrm>
        <a:prstGeom prst="roundRect">
          <a:avLst/>
        </a:prstGeom>
        <a:solidFill>
          <a:srgbClr val="172C51"/>
        </a:solidFill>
        <a:ln w="3175">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232833</xdr:colOff>
      <xdr:row>27</xdr:row>
      <xdr:rowOff>147614</xdr:rowOff>
    </xdr:from>
    <xdr:to>
      <xdr:col>1</xdr:col>
      <xdr:colOff>1226344</xdr:colOff>
      <xdr:row>28</xdr:row>
      <xdr:rowOff>137114</xdr:rowOff>
    </xdr:to>
    <xdr:sp macro="" textlink="">
      <xdr:nvSpPr>
        <xdr:cNvPr id="11" name="Rechthoek: afgeronde hoeken 10">
          <a:extLst>
            <a:ext uri="{FF2B5EF4-FFF2-40B4-BE49-F238E27FC236}">
              <a16:creationId xmlns:a16="http://schemas.microsoft.com/office/drawing/2014/main" id="{2AE7C790-2602-EE84-BC53-76CE7B6B5A47}"/>
            </a:ext>
          </a:extLst>
        </xdr:cNvPr>
        <xdr:cNvSpPr/>
      </xdr:nvSpPr>
      <xdr:spPr>
        <a:xfrm>
          <a:off x="423333" y="5521028"/>
          <a:ext cx="993511" cy="180000"/>
        </a:xfrm>
        <a:prstGeom prst="roundRect">
          <a:avLst/>
        </a:prstGeom>
        <a:solidFill>
          <a:srgbClr val="0099DA"/>
        </a:solidFill>
        <a:ln w="3175">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232833</xdr:colOff>
      <xdr:row>28</xdr:row>
      <xdr:rowOff>189304</xdr:rowOff>
    </xdr:from>
    <xdr:to>
      <xdr:col>1</xdr:col>
      <xdr:colOff>1863328</xdr:colOff>
      <xdr:row>29</xdr:row>
      <xdr:rowOff>178804</xdr:rowOff>
    </xdr:to>
    <xdr:sp macro="" textlink="">
      <xdr:nvSpPr>
        <xdr:cNvPr id="12" name="Rechthoek: afgeronde hoeken 11">
          <a:extLst>
            <a:ext uri="{FF2B5EF4-FFF2-40B4-BE49-F238E27FC236}">
              <a16:creationId xmlns:a16="http://schemas.microsoft.com/office/drawing/2014/main" id="{CCAB1B73-D292-068B-D617-F5FB38834E92}"/>
            </a:ext>
          </a:extLst>
        </xdr:cNvPr>
        <xdr:cNvSpPr/>
      </xdr:nvSpPr>
      <xdr:spPr>
        <a:xfrm>
          <a:off x="423333" y="5753218"/>
          <a:ext cx="1630495" cy="180000"/>
        </a:xfrm>
        <a:prstGeom prst="roundRect">
          <a:avLst/>
        </a:prstGeom>
        <a:solidFill>
          <a:srgbClr val="0099DA"/>
        </a:solidFill>
        <a:ln w="3175">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232833</xdr:colOff>
      <xdr:row>30</xdr:row>
      <xdr:rowOff>40494</xdr:rowOff>
    </xdr:from>
    <xdr:to>
      <xdr:col>1</xdr:col>
      <xdr:colOff>1482328</xdr:colOff>
      <xdr:row>31</xdr:row>
      <xdr:rowOff>29994</xdr:rowOff>
    </xdr:to>
    <xdr:sp macro="" textlink="">
      <xdr:nvSpPr>
        <xdr:cNvPr id="13" name="Rechthoek: afgeronde hoeken 12">
          <a:extLst>
            <a:ext uri="{FF2B5EF4-FFF2-40B4-BE49-F238E27FC236}">
              <a16:creationId xmlns:a16="http://schemas.microsoft.com/office/drawing/2014/main" id="{7D2E2D7C-BBCB-00D0-FE65-6919AC6C92EC}"/>
            </a:ext>
          </a:extLst>
        </xdr:cNvPr>
        <xdr:cNvSpPr/>
      </xdr:nvSpPr>
      <xdr:spPr>
        <a:xfrm>
          <a:off x="423333" y="5985408"/>
          <a:ext cx="1249495" cy="180000"/>
        </a:xfrm>
        <a:prstGeom prst="roundRect">
          <a:avLst/>
        </a:prstGeom>
        <a:solidFill>
          <a:srgbClr val="E3D7A5"/>
        </a:solidFill>
        <a:ln w="3175">
          <a:solidFill>
            <a:schemeClr val="accent4">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232833</xdr:colOff>
      <xdr:row>31</xdr:row>
      <xdr:rowOff>82184</xdr:rowOff>
    </xdr:from>
    <xdr:to>
      <xdr:col>1</xdr:col>
      <xdr:colOff>1577578</xdr:colOff>
      <xdr:row>32</xdr:row>
      <xdr:rowOff>71684</xdr:rowOff>
    </xdr:to>
    <xdr:sp macro="" textlink="">
      <xdr:nvSpPr>
        <xdr:cNvPr id="14" name="Rechthoek: afgeronde hoeken 13">
          <a:extLst>
            <a:ext uri="{FF2B5EF4-FFF2-40B4-BE49-F238E27FC236}">
              <a16:creationId xmlns:a16="http://schemas.microsoft.com/office/drawing/2014/main" id="{9C91F2A6-C128-DDC6-7A2F-89B9EA1F7B7B}"/>
            </a:ext>
          </a:extLst>
        </xdr:cNvPr>
        <xdr:cNvSpPr/>
      </xdr:nvSpPr>
      <xdr:spPr>
        <a:xfrm>
          <a:off x="423333" y="6217598"/>
          <a:ext cx="1344745" cy="180000"/>
        </a:xfrm>
        <a:prstGeom prst="roundRect">
          <a:avLst/>
        </a:prstGeom>
        <a:solidFill>
          <a:srgbClr val="E3D7A5"/>
        </a:solidFill>
        <a:ln w="3175">
          <a:solidFill>
            <a:schemeClr val="accent4">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232833</xdr:colOff>
      <xdr:row>32</xdr:row>
      <xdr:rowOff>123874</xdr:rowOff>
    </xdr:from>
    <xdr:to>
      <xdr:col>1</xdr:col>
      <xdr:colOff>1827609</xdr:colOff>
      <xdr:row>33</xdr:row>
      <xdr:rowOff>113374</xdr:rowOff>
    </xdr:to>
    <xdr:sp macro="" textlink="">
      <xdr:nvSpPr>
        <xdr:cNvPr id="15" name="Rechthoek: afgeronde hoeken 14">
          <a:extLst>
            <a:ext uri="{FF2B5EF4-FFF2-40B4-BE49-F238E27FC236}">
              <a16:creationId xmlns:a16="http://schemas.microsoft.com/office/drawing/2014/main" id="{E14E2BFC-69CB-2759-05E8-C9C408797590}"/>
            </a:ext>
          </a:extLst>
        </xdr:cNvPr>
        <xdr:cNvSpPr/>
      </xdr:nvSpPr>
      <xdr:spPr>
        <a:xfrm>
          <a:off x="423333" y="6449788"/>
          <a:ext cx="1594776" cy="180000"/>
        </a:xfrm>
        <a:prstGeom prst="roundRect">
          <a:avLst/>
        </a:prstGeom>
        <a:solidFill>
          <a:schemeClr val="bg1">
            <a:lumMod val="85000"/>
          </a:schemeClr>
        </a:solidFill>
        <a:ln w="317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232833</xdr:colOff>
      <xdr:row>33</xdr:row>
      <xdr:rowOff>165562</xdr:rowOff>
    </xdr:from>
    <xdr:to>
      <xdr:col>1</xdr:col>
      <xdr:colOff>1970485</xdr:colOff>
      <xdr:row>34</xdr:row>
      <xdr:rowOff>155062</xdr:rowOff>
    </xdr:to>
    <xdr:sp macro="" textlink="">
      <xdr:nvSpPr>
        <xdr:cNvPr id="16" name="Rechthoek: afgeronde hoeken 15">
          <a:extLst>
            <a:ext uri="{FF2B5EF4-FFF2-40B4-BE49-F238E27FC236}">
              <a16:creationId xmlns:a16="http://schemas.microsoft.com/office/drawing/2014/main" id="{2E997EB3-ABDB-03A6-A297-830D9EA85ADC}"/>
            </a:ext>
          </a:extLst>
        </xdr:cNvPr>
        <xdr:cNvSpPr/>
      </xdr:nvSpPr>
      <xdr:spPr>
        <a:xfrm>
          <a:off x="423333" y="6681976"/>
          <a:ext cx="1737652" cy="180000"/>
        </a:xfrm>
        <a:prstGeom prst="roundRect">
          <a:avLst/>
        </a:prstGeom>
        <a:solidFill>
          <a:schemeClr val="bg1">
            <a:lumMod val="85000"/>
          </a:schemeClr>
        </a:solidFill>
        <a:ln w="317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95248</xdr:colOff>
      <xdr:row>21</xdr:row>
      <xdr:rowOff>74086</xdr:rowOff>
    </xdr:from>
    <xdr:to>
      <xdr:col>7</xdr:col>
      <xdr:colOff>1820333</xdr:colOff>
      <xdr:row>35</xdr:row>
      <xdr:rowOff>114300</xdr:rowOff>
    </xdr:to>
    <xdr:sp macro="" textlink="">
      <xdr:nvSpPr>
        <xdr:cNvPr id="7" name="Tekstvak 6">
          <a:extLst>
            <a:ext uri="{FF2B5EF4-FFF2-40B4-BE49-F238E27FC236}">
              <a16:creationId xmlns:a16="http://schemas.microsoft.com/office/drawing/2014/main" id="{ACDB9FA5-1B4D-AF27-B69A-1CAF813AF93B}"/>
            </a:ext>
          </a:extLst>
        </xdr:cNvPr>
        <xdr:cNvSpPr txBox="1"/>
      </xdr:nvSpPr>
      <xdr:spPr>
        <a:xfrm>
          <a:off x="285748" y="4303186"/>
          <a:ext cx="12678835" cy="2707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0">
              <a:solidFill>
                <a:schemeClr val="dk1"/>
              </a:solidFill>
              <a:effectLst/>
              <a:latin typeface="Calibri (Hoofdtekst)"/>
              <a:ea typeface="+mn-ea"/>
              <a:cs typeface="+mn-cs"/>
            </a:rPr>
            <a:t>Dit</a:t>
          </a:r>
          <a:r>
            <a:rPr lang="nl-NL" sz="1200" b="0" baseline="0">
              <a:solidFill>
                <a:schemeClr val="dk1"/>
              </a:solidFill>
              <a:effectLst/>
              <a:latin typeface="Calibri (Hoofdtekst)"/>
              <a:ea typeface="+mn-ea"/>
              <a:cs typeface="+mn-cs"/>
            </a:rPr>
            <a:t> instrument beveat twee type cellen:</a:t>
          </a:r>
          <a:r>
            <a:rPr lang="nl-NL" sz="1200" b="0">
              <a:solidFill>
                <a:schemeClr val="dk1"/>
              </a:solidFill>
              <a:effectLst/>
              <a:latin typeface="Calibri (Hoofdtekst)"/>
              <a:ea typeface="+mn-ea"/>
              <a:cs typeface="+mn-cs"/>
            </a:rPr>
            <a:t> </a:t>
          </a:r>
          <a:endParaRPr lang="nl-NL" sz="1200">
            <a:effectLst/>
            <a:latin typeface="Calibri (Hoofdtekst)"/>
          </a:endParaRPr>
        </a:p>
        <a:p>
          <a:r>
            <a:rPr lang="nl-NL" sz="1200" b="0">
              <a:solidFill>
                <a:schemeClr val="dk1"/>
              </a:solidFill>
              <a:effectLst/>
              <a:latin typeface="Calibri (Hoofdtekst)"/>
              <a:ea typeface="+mn-ea"/>
              <a:cs typeface="+mn-cs"/>
            </a:rPr>
            <a:t>• Cellen met </a:t>
          </a:r>
          <a:r>
            <a:rPr lang="nl-NL" sz="1200" b="1">
              <a:solidFill>
                <a:srgbClr val="0000FF"/>
              </a:solidFill>
              <a:effectLst/>
              <a:latin typeface="Calibri (Hoofdtekst)"/>
              <a:ea typeface="+mn-ea"/>
              <a:cs typeface="+mn-cs"/>
            </a:rPr>
            <a:t>BLAUWE TEKST</a:t>
          </a:r>
          <a:r>
            <a:rPr lang="nl-NL" sz="1200" b="0">
              <a:solidFill>
                <a:schemeClr val="dk1"/>
              </a:solidFill>
              <a:effectLst/>
              <a:latin typeface="Calibri (Hoofdtekst)"/>
              <a:ea typeface="+mn-ea"/>
              <a:cs typeface="+mn-cs"/>
            </a:rPr>
            <a:t>: dit betreft</a:t>
          </a:r>
          <a:r>
            <a:rPr lang="nl-NL" sz="1200" b="0" baseline="0">
              <a:solidFill>
                <a:schemeClr val="dk1"/>
              </a:solidFill>
              <a:effectLst/>
              <a:latin typeface="Calibri (Hoofdtekst)"/>
              <a:ea typeface="+mn-ea"/>
              <a:cs typeface="+mn-cs"/>
            </a:rPr>
            <a:t> invoer, deze cellen zijn aanpasbaar door de gebruiker.</a:t>
          </a:r>
          <a:endParaRPr lang="nl-NL" sz="1200">
            <a:effectLst/>
            <a:latin typeface="Calibri (Hoofdtekst)"/>
          </a:endParaRPr>
        </a:p>
        <a:p>
          <a:r>
            <a:rPr lang="nl-NL" sz="1200" b="0">
              <a:solidFill>
                <a:schemeClr val="dk1"/>
              </a:solidFill>
              <a:effectLst/>
              <a:latin typeface="Calibri (Hoofdtekst)"/>
              <a:ea typeface="+mn-ea"/>
              <a:cs typeface="+mn-cs"/>
            </a:rPr>
            <a:t>• Cellen met </a:t>
          </a:r>
          <a:r>
            <a:rPr lang="nl-NL" sz="1200" b="1">
              <a:solidFill>
                <a:schemeClr val="dk1"/>
              </a:solidFill>
              <a:effectLst/>
              <a:latin typeface="Calibri (Hoofdtekst)"/>
              <a:ea typeface="+mn-ea"/>
              <a:cs typeface="+mn-cs"/>
            </a:rPr>
            <a:t>ZWARTE TEKST</a:t>
          </a:r>
          <a:r>
            <a:rPr lang="nl-NL" sz="1200" b="0">
              <a:solidFill>
                <a:schemeClr val="dk1"/>
              </a:solidFill>
              <a:effectLst/>
              <a:latin typeface="Calibri (Hoofdtekst)"/>
              <a:ea typeface="+mn-ea"/>
              <a:cs typeface="+mn-cs"/>
            </a:rPr>
            <a:t>: dece</a:t>
          </a:r>
          <a:r>
            <a:rPr lang="nl-NL" sz="1200" b="0" baseline="0">
              <a:solidFill>
                <a:schemeClr val="dk1"/>
              </a:solidFill>
              <a:effectLst/>
              <a:latin typeface="Calibri (Hoofdtekst)"/>
              <a:ea typeface="+mn-ea"/>
              <a:cs typeface="+mn-cs"/>
            </a:rPr>
            <a:t> cellen </a:t>
          </a:r>
          <a:r>
            <a:rPr lang="nl-NL" sz="1200" b="0">
              <a:solidFill>
                <a:schemeClr val="dk1"/>
              </a:solidFill>
              <a:effectLst/>
              <a:latin typeface="Calibri (Hoofdtekst)"/>
              <a:ea typeface="+mn-ea"/>
              <a:cs typeface="+mn-cs"/>
            </a:rPr>
            <a:t>betreffen formules of vaste waardes, deze cellen zijn inet aanpasbaar.</a:t>
          </a:r>
          <a:endParaRPr lang="nl-NL" sz="1200">
            <a:effectLst/>
            <a:latin typeface="Calibri (Hoofdtekst)"/>
          </a:endParaRPr>
        </a:p>
        <a:p>
          <a:r>
            <a:rPr lang="nl-NL" sz="1200" b="1">
              <a:solidFill>
                <a:schemeClr val="dk1"/>
              </a:solidFill>
              <a:effectLst/>
              <a:latin typeface="Calibri (Hoofdtekst)"/>
              <a:ea typeface="+mn-ea"/>
              <a:cs typeface="+mn-cs"/>
            </a:rPr>
            <a:t> </a:t>
          </a:r>
          <a:endParaRPr lang="nl-NL" sz="1200">
            <a:effectLst/>
            <a:latin typeface="Calibri (Hoofdtekst)"/>
          </a:endParaRPr>
        </a:p>
        <a:p>
          <a:r>
            <a:rPr lang="nl-NL" sz="1200" b="0">
              <a:solidFill>
                <a:schemeClr val="dk1"/>
              </a:solidFill>
              <a:effectLst/>
              <a:latin typeface="Calibri (Hoofdtekst)"/>
              <a:ea typeface="+mn-ea"/>
              <a:cs typeface="+mn-cs"/>
            </a:rPr>
            <a:t>Dit gespreksinstrument bestaat uit 7 tabbladen:</a:t>
          </a:r>
          <a:endParaRPr lang="nl-NL" sz="1200" b="0">
            <a:effectLst/>
            <a:latin typeface="Calibri (Hoofdtekst)"/>
          </a:endParaRPr>
        </a:p>
        <a:p>
          <a:r>
            <a:rPr lang="nl-NL" sz="1200" b="0">
              <a:solidFill>
                <a:schemeClr val="dk1"/>
              </a:solidFill>
              <a:effectLst/>
              <a:latin typeface="+mn-lt"/>
              <a:ea typeface="+mn-ea"/>
              <a:cs typeface="+mn-cs"/>
            </a:rPr>
            <a:t>  </a:t>
          </a:r>
          <a:r>
            <a:rPr lang="nl-NL" sz="1200" b="0">
              <a:solidFill>
                <a:schemeClr val="bg1"/>
              </a:solidFill>
              <a:effectLst/>
              <a:latin typeface="+mn-lt"/>
              <a:ea typeface="+mn-ea"/>
              <a:cs typeface="+mn-cs"/>
            </a:rPr>
            <a:t>Gespreksblad   </a:t>
          </a:r>
          <a:r>
            <a:rPr lang="nl-NL" sz="1200" b="0">
              <a:solidFill>
                <a:schemeClr val="dk1"/>
              </a:solidFill>
              <a:effectLst/>
              <a:latin typeface="+mn-lt"/>
              <a:ea typeface="+mn-ea"/>
              <a:cs typeface="+mn-cs"/>
            </a:rPr>
            <a:t>hier komt de output van de berekeningen samen. Kolom B-D gaan over de woningcorporatie, kolom F-G over de ontwikkelaar</a:t>
          </a:r>
        </a:p>
        <a:p>
          <a:endParaRPr lang="nl-NL" sz="300" b="0">
            <a:solidFill>
              <a:schemeClr val="dk1"/>
            </a:solidFill>
            <a:effectLst/>
            <a:latin typeface="+mn-lt"/>
            <a:ea typeface="+mn-ea"/>
            <a:cs typeface="+mn-cs"/>
          </a:endParaRPr>
        </a:p>
        <a:p>
          <a:r>
            <a:rPr lang="nl-NL" sz="1200" b="0">
              <a:solidFill>
                <a:schemeClr val="dk1"/>
              </a:solidFill>
              <a:effectLst/>
              <a:latin typeface="+mn-lt"/>
              <a:ea typeface="+mn-ea"/>
              <a:cs typeface="+mn-cs"/>
            </a:rPr>
            <a:t>  </a:t>
          </a:r>
          <a:r>
            <a:rPr lang="nl-NL" sz="1200" b="0">
              <a:solidFill>
                <a:schemeClr val="bg1"/>
              </a:solidFill>
              <a:effectLst/>
              <a:latin typeface="+mn-lt"/>
              <a:ea typeface="+mn-ea"/>
              <a:cs typeface="+mn-cs"/>
            </a:rPr>
            <a:t>Woco – Project   </a:t>
          </a:r>
          <a:r>
            <a:rPr lang="nl-NL" sz="1200">
              <a:solidFill>
                <a:schemeClr val="dk1"/>
              </a:solidFill>
              <a:effectLst/>
              <a:latin typeface="+mn-lt"/>
              <a:ea typeface="+mn-ea"/>
              <a:cs typeface="+mn-cs"/>
            </a:rPr>
            <a:t>Dit blad dient als invoer voor de woningcorporatie</a:t>
          </a:r>
          <a:r>
            <a:rPr lang="nl-NL" sz="1200" b="0">
              <a:solidFill>
                <a:schemeClr val="dk1"/>
              </a:solidFill>
              <a:effectLst/>
              <a:latin typeface="+mn-lt"/>
              <a:ea typeface="+mn-ea"/>
              <a:cs typeface="+mn-cs"/>
            </a:rPr>
            <a:t>.</a:t>
          </a:r>
        </a:p>
        <a:p>
          <a:endParaRPr lang="nl-NL" sz="300" b="0">
            <a:effectLst/>
            <a:latin typeface="+mn-lt"/>
          </a:endParaRPr>
        </a:p>
        <a:p>
          <a:r>
            <a:rPr lang="nl-NL" sz="1200" b="0">
              <a:solidFill>
                <a:schemeClr val="dk1"/>
              </a:solidFill>
              <a:effectLst/>
              <a:latin typeface="+mn-lt"/>
              <a:ea typeface="+mn-ea"/>
              <a:cs typeface="+mn-cs"/>
            </a:rPr>
            <a:t>  </a:t>
          </a:r>
          <a:r>
            <a:rPr lang="nl-NL" sz="1200" b="0">
              <a:solidFill>
                <a:schemeClr val="bg1"/>
              </a:solidFill>
              <a:effectLst/>
              <a:latin typeface="+mn-lt"/>
              <a:ea typeface="+mn-ea"/>
              <a:cs typeface="+mn-cs"/>
            </a:rPr>
            <a:t>Woco – Reeks onderhoud</a:t>
          </a:r>
          <a:r>
            <a:rPr lang="nl-NL" sz="1200" b="0">
              <a:solidFill>
                <a:schemeClr val="dk1"/>
              </a:solidFill>
              <a:effectLst/>
              <a:latin typeface="+mn-lt"/>
              <a:ea typeface="+mn-ea"/>
              <a:cs typeface="+mn-cs"/>
            </a:rPr>
            <a:t>  In dit blad wordt de reeks onderhoud over 60 jaar ingevuld.</a:t>
          </a:r>
        </a:p>
        <a:p>
          <a:endParaRPr lang="nl-NL" sz="3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200" b="0">
              <a:solidFill>
                <a:schemeClr val="bg1"/>
              </a:solidFill>
              <a:effectLst/>
              <a:latin typeface="+mn-lt"/>
              <a:ea typeface="+mn-ea"/>
              <a:cs typeface="+mn-cs"/>
            </a:rPr>
            <a:t>  </a:t>
          </a:r>
          <a:r>
            <a:rPr lang="nl-NL" sz="1200" b="0">
              <a:solidFill>
                <a:sysClr val="windowText" lastClr="000000"/>
              </a:solidFill>
              <a:effectLst/>
              <a:latin typeface="+mn-lt"/>
              <a:ea typeface="+mn-ea"/>
              <a:cs typeface="+mn-cs"/>
            </a:rPr>
            <a:t>Ontwikkelaar – VEX   </a:t>
          </a:r>
          <a:r>
            <a:rPr lang="nl-NL" sz="1200">
              <a:solidFill>
                <a:schemeClr val="dk1"/>
              </a:solidFill>
              <a:effectLst/>
              <a:latin typeface="+mn-lt"/>
              <a:ea typeface="+mn-ea"/>
              <a:cs typeface="+mn-cs"/>
            </a:rPr>
            <a:t>Dit blad dient als invoer voor de ontwikkelaar.</a:t>
          </a:r>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300" b="0">
            <a:effectLst/>
            <a:latin typeface="+mn-lt"/>
          </a:endParaRPr>
        </a:p>
        <a:p>
          <a:r>
            <a:rPr lang="nl-NL" sz="1200" b="0">
              <a:solidFill>
                <a:schemeClr val="dk1"/>
              </a:solidFill>
              <a:effectLst/>
              <a:latin typeface="+mn-lt"/>
              <a:ea typeface="+mn-ea"/>
              <a:cs typeface="+mn-cs"/>
            </a:rPr>
            <a:t>  </a:t>
          </a:r>
          <a:r>
            <a:rPr lang="nl-NL" sz="1200" b="0">
              <a:solidFill>
                <a:sysClr val="windowText" lastClr="000000"/>
              </a:solidFill>
              <a:effectLst/>
              <a:latin typeface="+mn-lt"/>
              <a:ea typeface="+mn-ea"/>
              <a:cs typeface="+mn-cs"/>
            </a:rPr>
            <a:t>Ontwikkelaar – GREX   </a:t>
          </a:r>
          <a:r>
            <a:rPr lang="nl-NL" sz="1200" b="0">
              <a:solidFill>
                <a:schemeClr val="dk1"/>
              </a:solidFill>
              <a:effectLst/>
              <a:latin typeface="+mn-lt"/>
              <a:ea typeface="+mn-ea"/>
              <a:cs typeface="+mn-cs"/>
            </a:rPr>
            <a:t>Op dit blad vult men de volledige GREX voor de ontwikkelaar in.</a:t>
          </a:r>
        </a:p>
        <a:p>
          <a:endParaRPr lang="nl-NL" sz="300" b="0">
            <a:solidFill>
              <a:schemeClr val="dk1"/>
            </a:solidFill>
            <a:effectLst/>
            <a:latin typeface="+mn-lt"/>
            <a:ea typeface="+mn-ea"/>
            <a:cs typeface="+mn-cs"/>
          </a:endParaRPr>
        </a:p>
        <a:p>
          <a:r>
            <a:rPr lang="nl-NL" sz="1200" b="0">
              <a:solidFill>
                <a:sysClr val="windowText" lastClr="000000"/>
              </a:solidFill>
              <a:effectLst/>
              <a:latin typeface="+mn-lt"/>
              <a:ea typeface="+mn-ea"/>
              <a:cs typeface="+mn-cs"/>
            </a:rPr>
            <a:t>  Hulpblad – Berekeningen   </a:t>
          </a:r>
          <a:r>
            <a:rPr lang="nl-NL" sz="1200">
              <a:solidFill>
                <a:schemeClr val="dk1"/>
              </a:solidFill>
              <a:effectLst/>
              <a:latin typeface="+mn-lt"/>
              <a:ea typeface="+mn-ea"/>
              <a:cs typeface="+mn-cs"/>
            </a:rPr>
            <a:t>Op dit blad worden alle berekeningen uitgevoerd.</a:t>
          </a:r>
        </a:p>
        <a:p>
          <a:endParaRPr lang="nl-NL" sz="300" b="0">
            <a:effectLst/>
            <a:latin typeface="+mn-lt"/>
          </a:endParaRPr>
        </a:p>
        <a:p>
          <a:pPr lvl="0"/>
          <a:r>
            <a:rPr lang="nl-NL" sz="1200" b="0">
              <a:solidFill>
                <a:schemeClr val="bg1"/>
              </a:solidFill>
              <a:effectLst/>
              <a:latin typeface="+mn-lt"/>
              <a:ea typeface="+mn-ea"/>
              <a:cs typeface="+mn-cs"/>
            </a:rPr>
            <a:t>  </a:t>
          </a:r>
          <a:r>
            <a:rPr lang="nl-NL" sz="1200" b="0">
              <a:solidFill>
                <a:sysClr val="windowText" lastClr="000000"/>
              </a:solidFill>
              <a:effectLst/>
              <a:latin typeface="+mn-lt"/>
              <a:ea typeface="+mn-ea"/>
              <a:cs typeface="+mn-cs"/>
            </a:rPr>
            <a:t>Hulpblad – Uitgangspunten   </a:t>
          </a:r>
          <a:r>
            <a:rPr lang="nl-NL" sz="1200">
              <a:solidFill>
                <a:schemeClr val="dk1"/>
              </a:solidFill>
              <a:effectLst/>
              <a:latin typeface="+mn-lt"/>
              <a:ea typeface="+mn-ea"/>
              <a:cs typeface="+mn-cs"/>
            </a:rPr>
            <a:t>Op dit blad staan de parameters die gebruikt worden in de berekeningen.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213946</xdr:colOff>
      <xdr:row>0</xdr:row>
      <xdr:rowOff>134083</xdr:rowOff>
    </xdr:from>
    <xdr:to>
      <xdr:col>1</xdr:col>
      <xdr:colOff>2726865</xdr:colOff>
      <xdr:row>2</xdr:row>
      <xdr:rowOff>69428</xdr:rowOff>
    </xdr:to>
    <xdr:grpSp>
      <xdr:nvGrpSpPr>
        <xdr:cNvPr id="56" name="Groep 9">
          <a:extLst>
            <a:ext uri="{FF2B5EF4-FFF2-40B4-BE49-F238E27FC236}">
              <a16:creationId xmlns:a16="http://schemas.microsoft.com/office/drawing/2014/main" id="{662877CE-9CA1-4218-962F-97E239D9A061}"/>
            </a:ext>
          </a:extLst>
        </xdr:cNvPr>
        <xdr:cNvGrpSpPr/>
      </xdr:nvGrpSpPr>
      <xdr:grpSpPr>
        <a:xfrm>
          <a:off x="411502" y="134083"/>
          <a:ext cx="2512919" cy="535067"/>
          <a:chOff x="560293" y="156882"/>
          <a:chExt cx="2510118" cy="537883"/>
        </a:xfrm>
      </xdr:grpSpPr>
      <xdr:pic>
        <xdr:nvPicPr>
          <xdr:cNvPr id="57" name="Picture 1" descr="Contact | Aedes">
            <a:extLst>
              <a:ext uri="{FF2B5EF4-FFF2-40B4-BE49-F238E27FC236}">
                <a16:creationId xmlns:a16="http://schemas.microsoft.com/office/drawing/2014/main" id="{FF06D04D-8C58-B5FD-F172-7F93730BC43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8" name="Picture 2">
            <a:extLst>
              <a:ext uri="{FF2B5EF4-FFF2-40B4-BE49-F238E27FC236}">
                <a16:creationId xmlns:a16="http://schemas.microsoft.com/office/drawing/2014/main" id="{7FD81FE7-A6BD-6733-A2D5-D52D0D4CD020}"/>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133350</xdr:rowOff>
    </xdr:from>
    <xdr:to>
      <xdr:col>1</xdr:col>
      <xdr:colOff>2722469</xdr:colOff>
      <xdr:row>2</xdr:row>
      <xdr:rowOff>56590</xdr:rowOff>
    </xdr:to>
    <xdr:grpSp>
      <xdr:nvGrpSpPr>
        <xdr:cNvPr id="10" name="Groep 9">
          <a:extLst>
            <a:ext uri="{FF2B5EF4-FFF2-40B4-BE49-F238E27FC236}">
              <a16:creationId xmlns:a16="http://schemas.microsoft.com/office/drawing/2014/main" id="{A17BFA79-87F2-4259-A90B-BEEFF0679D0B}"/>
            </a:ext>
          </a:extLst>
        </xdr:cNvPr>
        <xdr:cNvGrpSpPr/>
      </xdr:nvGrpSpPr>
      <xdr:grpSpPr>
        <a:xfrm>
          <a:off x="407106" y="133350"/>
          <a:ext cx="2512919" cy="537073"/>
          <a:chOff x="560293" y="156882"/>
          <a:chExt cx="2510118" cy="537883"/>
        </a:xfrm>
      </xdr:grpSpPr>
      <xdr:pic>
        <xdr:nvPicPr>
          <xdr:cNvPr id="11" name="Picture 1" descr="Contact | Aedes">
            <a:extLst>
              <a:ext uri="{FF2B5EF4-FFF2-40B4-BE49-F238E27FC236}">
                <a16:creationId xmlns:a16="http://schemas.microsoft.com/office/drawing/2014/main" id="{B0F76D32-F57D-35DC-1A01-E24147924E2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2">
            <a:extLst>
              <a:ext uri="{FF2B5EF4-FFF2-40B4-BE49-F238E27FC236}">
                <a16:creationId xmlns:a16="http://schemas.microsoft.com/office/drawing/2014/main" id="{543BB639-0E40-627C-1BF1-37DFFB86CB95}"/>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209549</xdr:colOff>
      <xdr:row>0</xdr:row>
      <xdr:rowOff>133350</xdr:rowOff>
    </xdr:from>
    <xdr:to>
      <xdr:col>2</xdr:col>
      <xdr:colOff>1293599</xdr:colOff>
      <xdr:row>2</xdr:row>
      <xdr:rowOff>56590</xdr:rowOff>
    </xdr:to>
    <xdr:grpSp>
      <xdr:nvGrpSpPr>
        <xdr:cNvPr id="2" name="Groep 3">
          <a:extLst>
            <a:ext uri="{FF2B5EF4-FFF2-40B4-BE49-F238E27FC236}">
              <a16:creationId xmlns:a16="http://schemas.microsoft.com/office/drawing/2014/main" id="{013B0E2A-675E-4614-9B48-716BE55593EE}"/>
            </a:ext>
          </a:extLst>
        </xdr:cNvPr>
        <xdr:cNvGrpSpPr/>
      </xdr:nvGrpSpPr>
      <xdr:grpSpPr>
        <a:xfrm>
          <a:off x="407105" y="133350"/>
          <a:ext cx="2579827" cy="530018"/>
          <a:chOff x="560293" y="156882"/>
          <a:chExt cx="2510118" cy="537883"/>
        </a:xfrm>
      </xdr:grpSpPr>
      <xdr:pic>
        <xdr:nvPicPr>
          <xdr:cNvPr id="3" name="Picture 1" descr="Contact | Aedes">
            <a:extLst>
              <a:ext uri="{FF2B5EF4-FFF2-40B4-BE49-F238E27FC236}">
                <a16:creationId xmlns:a16="http://schemas.microsoft.com/office/drawing/2014/main" id="{0EFCE7B8-CCBD-36DD-794D-597D8807C0B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2">
            <a:extLst>
              <a:ext uri="{FF2B5EF4-FFF2-40B4-BE49-F238E27FC236}">
                <a16:creationId xmlns:a16="http://schemas.microsoft.com/office/drawing/2014/main" id="{67C9A6B3-CCB0-1F19-550C-2AD2985159D3}"/>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209550</xdr:colOff>
      <xdr:row>0</xdr:row>
      <xdr:rowOff>133350</xdr:rowOff>
    </xdr:from>
    <xdr:to>
      <xdr:col>1</xdr:col>
      <xdr:colOff>2722469</xdr:colOff>
      <xdr:row>2</xdr:row>
      <xdr:rowOff>56590</xdr:rowOff>
    </xdr:to>
    <xdr:grpSp>
      <xdr:nvGrpSpPr>
        <xdr:cNvPr id="2" name="Groep 1">
          <a:extLst>
            <a:ext uri="{FF2B5EF4-FFF2-40B4-BE49-F238E27FC236}">
              <a16:creationId xmlns:a16="http://schemas.microsoft.com/office/drawing/2014/main" id="{4CE6C7E8-03BA-452B-98F7-97EB6D394745}"/>
            </a:ext>
          </a:extLst>
        </xdr:cNvPr>
        <xdr:cNvGrpSpPr/>
      </xdr:nvGrpSpPr>
      <xdr:grpSpPr>
        <a:xfrm>
          <a:off x="403785" y="133350"/>
          <a:ext cx="2512919" cy="528358"/>
          <a:chOff x="560293" y="156882"/>
          <a:chExt cx="2510118" cy="537883"/>
        </a:xfrm>
      </xdr:grpSpPr>
      <xdr:pic>
        <xdr:nvPicPr>
          <xdr:cNvPr id="3" name="Picture 1" descr="Contact | Aedes">
            <a:extLst>
              <a:ext uri="{FF2B5EF4-FFF2-40B4-BE49-F238E27FC236}">
                <a16:creationId xmlns:a16="http://schemas.microsoft.com/office/drawing/2014/main" id="{9E8C0B6F-10CB-F912-A3AF-DF229CB3CF2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2">
            <a:extLst>
              <a:ext uri="{FF2B5EF4-FFF2-40B4-BE49-F238E27FC236}">
                <a16:creationId xmlns:a16="http://schemas.microsoft.com/office/drawing/2014/main" id="{64E1F1F1-B807-2AAF-A110-08498CD80763}"/>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209550</xdr:colOff>
      <xdr:row>0</xdr:row>
      <xdr:rowOff>133350</xdr:rowOff>
    </xdr:from>
    <xdr:to>
      <xdr:col>1</xdr:col>
      <xdr:colOff>2722469</xdr:colOff>
      <xdr:row>2</xdr:row>
      <xdr:rowOff>56590</xdr:rowOff>
    </xdr:to>
    <xdr:grpSp>
      <xdr:nvGrpSpPr>
        <xdr:cNvPr id="2" name="Groep 1">
          <a:extLst>
            <a:ext uri="{FF2B5EF4-FFF2-40B4-BE49-F238E27FC236}">
              <a16:creationId xmlns:a16="http://schemas.microsoft.com/office/drawing/2014/main" id="{35EA1178-E603-47B4-8A25-BCEF77CF5E02}"/>
            </a:ext>
          </a:extLst>
        </xdr:cNvPr>
        <xdr:cNvGrpSpPr/>
      </xdr:nvGrpSpPr>
      <xdr:grpSpPr>
        <a:xfrm>
          <a:off x="407106" y="133350"/>
          <a:ext cx="2512919" cy="522962"/>
          <a:chOff x="560293" y="156882"/>
          <a:chExt cx="2510118" cy="537883"/>
        </a:xfrm>
      </xdr:grpSpPr>
      <xdr:pic>
        <xdr:nvPicPr>
          <xdr:cNvPr id="3" name="Picture 1" descr="Contact | Aedes">
            <a:extLst>
              <a:ext uri="{FF2B5EF4-FFF2-40B4-BE49-F238E27FC236}">
                <a16:creationId xmlns:a16="http://schemas.microsoft.com/office/drawing/2014/main" id="{DD308331-8682-7629-8EE3-11228362D2A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2">
            <a:extLst>
              <a:ext uri="{FF2B5EF4-FFF2-40B4-BE49-F238E27FC236}">
                <a16:creationId xmlns:a16="http://schemas.microsoft.com/office/drawing/2014/main" id="{C2EE1AA4-09CD-4458-9F87-78360F34AECA}"/>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209549</xdr:colOff>
      <xdr:row>0</xdr:row>
      <xdr:rowOff>133350</xdr:rowOff>
    </xdr:from>
    <xdr:to>
      <xdr:col>2</xdr:col>
      <xdr:colOff>1293599</xdr:colOff>
      <xdr:row>2</xdr:row>
      <xdr:rowOff>56590</xdr:rowOff>
    </xdr:to>
    <xdr:grpSp>
      <xdr:nvGrpSpPr>
        <xdr:cNvPr id="4" name="Groep 3">
          <a:extLst>
            <a:ext uri="{FF2B5EF4-FFF2-40B4-BE49-F238E27FC236}">
              <a16:creationId xmlns:a16="http://schemas.microsoft.com/office/drawing/2014/main" id="{0AE2239E-51AB-4EB8-BB04-E354CD918478}"/>
            </a:ext>
          </a:extLst>
        </xdr:cNvPr>
        <xdr:cNvGrpSpPr/>
      </xdr:nvGrpSpPr>
      <xdr:grpSpPr>
        <a:xfrm>
          <a:off x="407105" y="133350"/>
          <a:ext cx="2579827" cy="522962"/>
          <a:chOff x="560293" y="156882"/>
          <a:chExt cx="2510118" cy="537883"/>
        </a:xfrm>
      </xdr:grpSpPr>
      <xdr:pic>
        <xdr:nvPicPr>
          <xdr:cNvPr id="5" name="Picture 1" descr="Contact | Aedes">
            <a:extLst>
              <a:ext uri="{FF2B5EF4-FFF2-40B4-BE49-F238E27FC236}">
                <a16:creationId xmlns:a16="http://schemas.microsoft.com/office/drawing/2014/main" id="{55367FDD-F395-8489-EFBC-BF824E6C2B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2">
            <a:extLst>
              <a:ext uri="{FF2B5EF4-FFF2-40B4-BE49-F238E27FC236}">
                <a16:creationId xmlns:a16="http://schemas.microsoft.com/office/drawing/2014/main" id="{FB08228B-F058-6296-C339-F9ABB63EFEE0}"/>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209549</xdr:colOff>
      <xdr:row>0</xdr:row>
      <xdr:rowOff>133350</xdr:rowOff>
    </xdr:from>
    <xdr:to>
      <xdr:col>2</xdr:col>
      <xdr:colOff>1293599</xdr:colOff>
      <xdr:row>2</xdr:row>
      <xdr:rowOff>56590</xdr:rowOff>
    </xdr:to>
    <xdr:grpSp>
      <xdr:nvGrpSpPr>
        <xdr:cNvPr id="2" name="Groep 1">
          <a:extLst>
            <a:ext uri="{FF2B5EF4-FFF2-40B4-BE49-F238E27FC236}">
              <a16:creationId xmlns:a16="http://schemas.microsoft.com/office/drawing/2014/main" id="{3542768B-8E18-4F46-9297-10D742E96C00}"/>
            </a:ext>
          </a:extLst>
        </xdr:cNvPr>
        <xdr:cNvGrpSpPr/>
      </xdr:nvGrpSpPr>
      <xdr:grpSpPr>
        <a:xfrm>
          <a:off x="407105" y="133350"/>
          <a:ext cx="2579827" cy="522962"/>
          <a:chOff x="560293" y="156882"/>
          <a:chExt cx="2510118" cy="537883"/>
        </a:xfrm>
      </xdr:grpSpPr>
      <xdr:pic>
        <xdr:nvPicPr>
          <xdr:cNvPr id="3" name="Picture 1" descr="Contact | Aedes">
            <a:extLst>
              <a:ext uri="{FF2B5EF4-FFF2-40B4-BE49-F238E27FC236}">
                <a16:creationId xmlns:a16="http://schemas.microsoft.com/office/drawing/2014/main" id="{84EBD226-AFDE-6207-0651-3164463FBB7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2">
            <a:extLst>
              <a:ext uri="{FF2B5EF4-FFF2-40B4-BE49-F238E27FC236}">
                <a16:creationId xmlns:a16="http://schemas.microsoft.com/office/drawing/2014/main" id="{E714E8C0-AE2E-84CA-F23D-31765A318A72}"/>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209549</xdr:colOff>
      <xdr:row>0</xdr:row>
      <xdr:rowOff>133350</xdr:rowOff>
    </xdr:from>
    <xdr:to>
      <xdr:col>2</xdr:col>
      <xdr:colOff>1293599</xdr:colOff>
      <xdr:row>2</xdr:row>
      <xdr:rowOff>56590</xdr:rowOff>
    </xdr:to>
    <xdr:grpSp>
      <xdr:nvGrpSpPr>
        <xdr:cNvPr id="8" name="Groep 7">
          <a:extLst>
            <a:ext uri="{FF2B5EF4-FFF2-40B4-BE49-F238E27FC236}">
              <a16:creationId xmlns:a16="http://schemas.microsoft.com/office/drawing/2014/main" id="{5009BCCB-03E7-4960-8BC5-9569F2BAF3A7}"/>
            </a:ext>
          </a:extLst>
        </xdr:cNvPr>
        <xdr:cNvGrpSpPr/>
      </xdr:nvGrpSpPr>
      <xdr:grpSpPr>
        <a:xfrm>
          <a:off x="406399" y="133350"/>
          <a:ext cx="2582650" cy="526490"/>
          <a:chOff x="560293" y="156882"/>
          <a:chExt cx="2510118" cy="537883"/>
        </a:xfrm>
      </xdr:grpSpPr>
      <xdr:pic>
        <xdr:nvPicPr>
          <xdr:cNvPr id="9" name="Picture 1" descr="Contact | Aedes">
            <a:extLst>
              <a:ext uri="{FF2B5EF4-FFF2-40B4-BE49-F238E27FC236}">
                <a16:creationId xmlns:a16="http://schemas.microsoft.com/office/drawing/2014/main" id="{DE1B99F3-FDA8-AD1E-440D-91AFFF9CBCC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2">
            <a:extLst>
              <a:ext uri="{FF2B5EF4-FFF2-40B4-BE49-F238E27FC236}">
                <a16:creationId xmlns:a16="http://schemas.microsoft.com/office/drawing/2014/main" id="{A3B52F3D-6148-36FB-58C9-B4F93934943B}"/>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0</xdr:colOff>
      <xdr:row>2</xdr:row>
      <xdr:rowOff>0</xdr:rowOff>
    </xdr:from>
    <xdr:ext cx="1431678" cy="547739"/>
    <xdr:pic>
      <xdr:nvPicPr>
        <xdr:cNvPr id="6" name="Picture 5" descr="Contact | Aedes">
          <a:extLst>
            <a:ext uri="{FF2B5EF4-FFF2-40B4-BE49-F238E27FC236}">
              <a16:creationId xmlns:a16="http://schemas.microsoft.com/office/drawing/2014/main" id="{E4B19622-A3BA-4B81-8546-A9576A488BE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94"/>
        <a:stretch/>
      </xdr:blipFill>
      <xdr:spPr bwMode="auto">
        <a:xfrm>
          <a:off x="3981450" y="368300"/>
          <a:ext cx="1431678" cy="5477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501157</xdr:colOff>
      <xdr:row>2</xdr:row>
      <xdr:rowOff>33389</xdr:rowOff>
    </xdr:from>
    <xdr:ext cx="1895695" cy="482600"/>
    <xdr:pic>
      <xdr:nvPicPr>
        <xdr:cNvPr id="7" name="Picture 6">
          <a:extLst>
            <a:ext uri="{FF2B5EF4-FFF2-40B4-BE49-F238E27FC236}">
              <a16:creationId xmlns:a16="http://schemas.microsoft.com/office/drawing/2014/main" id="{6C62CD7F-F50C-4D10-905F-67DB680D531A}"/>
            </a:ext>
          </a:extLst>
        </xdr:cNvPr>
        <xdr:cNvPicPr>
          <a:picLocks noChangeAspect="1"/>
        </xdr:cNvPicPr>
      </xdr:nvPicPr>
      <xdr:blipFill rotWithShape="1">
        <a:blip xmlns:r="http://schemas.openxmlformats.org/officeDocument/2006/relationships" r:embed="rId2"/>
        <a:srcRect t="31615" b="29759"/>
        <a:stretch/>
      </xdr:blipFill>
      <xdr:spPr>
        <a:xfrm>
          <a:off x="5092207" y="401689"/>
          <a:ext cx="1895695" cy="482600"/>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btiv.datawonen.nl/dashboard/opendata-dashboard-aw-bzk/beleidswaarde-2"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btiv.datawonen.nl/dashboard/opendata-dashboard-aw-bzk/beleidswaarde-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volkshuisvestingnederland.nl/documenten/publicaties/2024/11/26/maximale-huurprijsgrenzen-zelfstandige-woningen-per-1-januari-2025"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270D5-25D0-484E-A377-B2EB84A0988D}">
  <sheetPr>
    <tabColor theme="9"/>
    <pageSetUpPr fitToPage="1"/>
  </sheetPr>
  <dimension ref="A1:I85"/>
  <sheetViews>
    <sheetView showGridLines="0" tabSelected="1" zoomScale="90" zoomScaleNormal="90" workbookViewId="0">
      <pane ySplit="3" topLeftCell="A4" activePane="bottomLeft" state="frozen"/>
      <selection activeCell="A4" sqref="A4"/>
      <selection pane="bottomLeft" activeCell="I23" sqref="I23"/>
    </sheetView>
  </sheetViews>
  <sheetFormatPr defaultColWidth="0" defaultRowHeight="15" customHeight="1" zeroHeight="1"/>
  <cols>
    <col min="1" max="1" width="2.81640625" customWidth="1"/>
    <col min="2" max="2" width="43.54296875" customWidth="1"/>
    <col min="3" max="3" width="21.453125" customWidth="1"/>
    <col min="4" max="4" width="28.54296875" customWidth="1"/>
    <col min="5" max="5" width="4.453125" customWidth="1"/>
    <col min="6" max="6" width="43.54296875" customWidth="1"/>
    <col min="7" max="7" width="22.7265625" customWidth="1"/>
    <col min="8" max="8" width="28.54296875" customWidth="1"/>
    <col min="9" max="9" width="3" customWidth="1"/>
    <col min="10" max="16384" width="8.7265625" hidden="1"/>
  </cols>
  <sheetData>
    <row r="1" spans="1:9" ht="14.5">
      <c r="A1" s="89"/>
      <c r="B1" s="89"/>
      <c r="C1" s="89"/>
      <c r="D1" s="89"/>
      <c r="E1" s="89"/>
      <c r="F1" s="89"/>
      <c r="G1" s="89"/>
      <c r="H1" s="89"/>
      <c r="I1" s="89"/>
    </row>
    <row r="2" spans="1:9" ht="33" customHeight="1">
      <c r="A2" s="89"/>
      <c r="B2" s="89"/>
      <c r="C2" s="89"/>
      <c r="D2" s="89"/>
      <c r="E2" s="89"/>
      <c r="F2" s="89"/>
      <c r="G2" s="89"/>
      <c r="H2" s="89"/>
      <c r="I2" s="89"/>
    </row>
    <row r="3" spans="1:9" ht="14.5">
      <c r="A3" s="89"/>
      <c r="B3" s="89"/>
      <c r="C3" s="89"/>
      <c r="D3" s="89"/>
      <c r="E3" s="89"/>
      <c r="F3" s="89"/>
      <c r="G3" s="89"/>
      <c r="H3" s="89"/>
      <c r="I3" s="89"/>
    </row>
    <row r="4" spans="1:9" ht="14.5"/>
    <row r="5" spans="1:9" ht="15" customHeight="1">
      <c r="B5" s="346" t="s">
        <v>215</v>
      </c>
      <c r="C5" s="347"/>
      <c r="D5" s="347"/>
      <c r="E5" s="347"/>
      <c r="F5" s="347"/>
      <c r="G5" s="347"/>
      <c r="H5" s="348"/>
    </row>
    <row r="6" spans="1:9" ht="15" customHeight="1">
      <c r="B6" s="19"/>
      <c r="C6" s="73"/>
      <c r="D6" s="73"/>
      <c r="E6" s="73"/>
      <c r="F6" s="73"/>
      <c r="G6" s="73"/>
      <c r="H6" s="40"/>
    </row>
    <row r="7" spans="1:9" ht="15" customHeight="1">
      <c r="B7" s="17"/>
      <c r="C7" s="132"/>
      <c r="D7" s="132"/>
      <c r="E7" s="132"/>
      <c r="F7" s="132"/>
      <c r="G7" s="132"/>
      <c r="H7" s="152"/>
    </row>
    <row r="8" spans="1:9" ht="15" customHeight="1">
      <c r="B8" s="17"/>
      <c r="C8" s="132"/>
      <c r="D8" s="132"/>
      <c r="E8" s="132"/>
      <c r="F8" s="132"/>
      <c r="G8" s="132"/>
      <c r="H8" s="152"/>
    </row>
    <row r="9" spans="1:9" ht="15" customHeight="1">
      <c r="B9" s="17"/>
      <c r="C9" s="132"/>
      <c r="D9" s="132"/>
      <c r="E9" s="132"/>
      <c r="F9" s="132"/>
      <c r="G9" s="132"/>
      <c r="H9" s="152"/>
    </row>
    <row r="10" spans="1:9" ht="15" customHeight="1">
      <c r="B10" s="17"/>
      <c r="C10" s="132"/>
      <c r="D10" s="132"/>
      <c r="E10" s="132"/>
      <c r="F10" s="132"/>
      <c r="G10" s="132"/>
      <c r="H10" s="152"/>
    </row>
    <row r="11" spans="1:9" ht="15" customHeight="1">
      <c r="B11" s="17"/>
      <c r="C11" s="132"/>
      <c r="D11" s="132"/>
      <c r="E11" s="132"/>
      <c r="F11" s="132"/>
      <c r="G11" s="132"/>
      <c r="H11" s="152"/>
    </row>
    <row r="12" spans="1:9" ht="15" customHeight="1">
      <c r="B12" s="17"/>
      <c r="C12" s="132"/>
      <c r="D12" s="132"/>
      <c r="E12" s="132"/>
      <c r="F12" s="132"/>
      <c r="G12" s="132"/>
      <c r="H12" s="152"/>
    </row>
    <row r="13" spans="1:9" ht="15" customHeight="1">
      <c r="B13" s="17"/>
      <c r="C13" s="132"/>
      <c r="D13" s="132"/>
      <c r="E13" s="132"/>
      <c r="F13" s="132"/>
      <c r="G13" s="132"/>
      <c r="H13" s="152"/>
    </row>
    <row r="14" spans="1:9" ht="15" customHeight="1">
      <c r="B14" s="17"/>
      <c r="C14" s="132"/>
      <c r="D14" s="132"/>
      <c r="E14" s="132"/>
      <c r="F14" s="132"/>
      <c r="G14" s="132"/>
      <c r="H14" s="152"/>
    </row>
    <row r="15" spans="1:9" ht="15" customHeight="1">
      <c r="B15" s="17"/>
      <c r="C15" s="132"/>
      <c r="D15" s="132"/>
      <c r="E15" s="132"/>
      <c r="F15" s="132"/>
      <c r="G15" s="132"/>
      <c r="H15" s="152"/>
    </row>
    <row r="16" spans="1:9" ht="15" customHeight="1">
      <c r="B16" s="17"/>
      <c r="C16" s="132"/>
      <c r="D16" s="132"/>
      <c r="E16" s="132"/>
      <c r="F16" s="132"/>
      <c r="G16" s="132"/>
      <c r="H16" s="152"/>
    </row>
    <row r="17" spans="2:8" ht="15" customHeight="1">
      <c r="B17" s="17"/>
      <c r="C17" s="132"/>
      <c r="D17" s="132"/>
      <c r="E17" s="132"/>
      <c r="F17" s="132"/>
      <c r="G17" s="132"/>
      <c r="H17" s="152"/>
    </row>
    <row r="18" spans="2:8" ht="15" customHeight="1">
      <c r="B18" s="17"/>
      <c r="C18" s="132"/>
      <c r="D18" s="132"/>
      <c r="E18" s="132"/>
      <c r="F18" s="132"/>
      <c r="G18" s="132"/>
      <c r="H18" s="152"/>
    </row>
    <row r="19" spans="2:8" ht="15" customHeight="1">
      <c r="B19" s="18"/>
      <c r="C19" s="74"/>
      <c r="D19" s="74"/>
      <c r="E19" s="74"/>
      <c r="F19" s="74"/>
      <c r="G19" s="74"/>
      <c r="H19" s="156"/>
    </row>
    <row r="20" spans="2:8" ht="15" customHeight="1"/>
    <row r="21" spans="2:8" ht="15" customHeight="1">
      <c r="B21" s="346" t="s">
        <v>216</v>
      </c>
      <c r="C21" s="347"/>
      <c r="D21" s="347"/>
      <c r="E21" s="347"/>
      <c r="F21" s="347"/>
      <c r="G21" s="347"/>
      <c r="H21" s="348"/>
    </row>
    <row r="22" spans="2:8" ht="15" customHeight="1">
      <c r="B22" s="19"/>
      <c r="C22" s="73"/>
      <c r="D22" s="73"/>
      <c r="E22" s="73"/>
      <c r="F22" s="73"/>
      <c r="G22" s="73"/>
      <c r="H22" s="40"/>
    </row>
    <row r="23" spans="2:8" ht="15" customHeight="1">
      <c r="B23" s="17"/>
      <c r="C23" s="132"/>
      <c r="D23" s="132"/>
      <c r="E23" s="132"/>
      <c r="F23" s="132"/>
      <c r="G23" s="132"/>
      <c r="H23" s="152"/>
    </row>
    <row r="24" spans="2:8" ht="15" customHeight="1">
      <c r="B24" s="17"/>
      <c r="C24" s="132"/>
      <c r="D24" s="132"/>
      <c r="E24" s="132"/>
      <c r="F24" s="132"/>
      <c r="G24" s="132"/>
      <c r="H24" s="152"/>
    </row>
    <row r="25" spans="2:8" ht="15" customHeight="1">
      <c r="B25" s="17"/>
      <c r="C25" s="132"/>
      <c r="D25" s="132"/>
      <c r="E25" s="132"/>
      <c r="F25" s="132"/>
      <c r="G25" s="132"/>
      <c r="H25" s="152"/>
    </row>
    <row r="26" spans="2:8" ht="15" customHeight="1">
      <c r="B26" s="17"/>
      <c r="C26" s="132"/>
      <c r="D26" s="132"/>
      <c r="E26" s="132"/>
      <c r="F26" s="132"/>
      <c r="G26" s="132"/>
      <c r="H26" s="152"/>
    </row>
    <row r="27" spans="2:8" ht="15" customHeight="1">
      <c r="B27" s="17"/>
      <c r="C27" s="132"/>
      <c r="D27" s="132"/>
      <c r="E27" s="132"/>
      <c r="F27" s="132"/>
      <c r="G27" s="132"/>
      <c r="H27" s="152"/>
    </row>
    <row r="28" spans="2:8" ht="15" customHeight="1">
      <c r="B28" s="17"/>
      <c r="C28" s="132"/>
      <c r="D28" s="132"/>
      <c r="E28" s="132"/>
      <c r="F28" s="132"/>
      <c r="G28" s="132"/>
      <c r="H28" s="152"/>
    </row>
    <row r="29" spans="2:8" ht="15" customHeight="1">
      <c r="B29" s="17"/>
      <c r="C29" s="132"/>
      <c r="D29" s="132"/>
      <c r="E29" s="132"/>
      <c r="F29" s="132"/>
      <c r="G29" s="132"/>
      <c r="H29" s="152"/>
    </row>
    <row r="30" spans="2:8" ht="15" customHeight="1">
      <c r="B30" s="17"/>
      <c r="C30" s="132"/>
      <c r="D30" s="132"/>
      <c r="E30" s="132"/>
      <c r="F30" s="132"/>
      <c r="G30" s="132"/>
      <c r="H30" s="152"/>
    </row>
    <row r="31" spans="2:8" ht="15" customHeight="1">
      <c r="B31" s="17"/>
      <c r="C31" s="132"/>
      <c r="D31" s="132"/>
      <c r="E31" s="132"/>
      <c r="F31" s="132"/>
      <c r="G31" s="132"/>
      <c r="H31" s="152"/>
    </row>
    <row r="32" spans="2:8" ht="15" customHeight="1">
      <c r="B32" s="17"/>
      <c r="C32" s="132"/>
      <c r="D32" s="132"/>
      <c r="E32" s="132"/>
      <c r="F32" s="132"/>
      <c r="G32" s="132"/>
      <c r="H32" s="152"/>
    </row>
    <row r="33" spans="2:8" ht="15" customHeight="1">
      <c r="B33" s="17"/>
      <c r="C33" s="132"/>
      <c r="D33" s="132"/>
      <c r="E33" s="132"/>
      <c r="F33" s="132"/>
      <c r="G33" s="132"/>
      <c r="H33" s="152"/>
    </row>
    <row r="34" spans="2:8" ht="15" customHeight="1">
      <c r="B34" s="17"/>
      <c r="C34" s="132"/>
      <c r="D34" s="132"/>
      <c r="E34" s="132"/>
      <c r="F34" s="132"/>
      <c r="G34" s="132"/>
      <c r="H34" s="152"/>
    </row>
    <row r="35" spans="2:8" ht="15" customHeight="1">
      <c r="B35" s="17"/>
      <c r="C35" s="132"/>
      <c r="D35" s="132"/>
      <c r="E35" s="132"/>
      <c r="F35" s="132"/>
      <c r="G35" s="132"/>
      <c r="H35" s="152"/>
    </row>
    <row r="36" spans="2:8" ht="15" customHeight="1">
      <c r="B36" s="18"/>
      <c r="C36" s="74"/>
      <c r="D36" s="74"/>
      <c r="E36" s="74"/>
      <c r="F36" s="74"/>
      <c r="G36" s="74"/>
      <c r="H36" s="156"/>
    </row>
    <row r="37" spans="2:8" ht="15" customHeight="1"/>
    <row r="38" spans="2:8" ht="15" customHeight="1">
      <c r="B38" s="346" t="s">
        <v>214</v>
      </c>
      <c r="C38" s="347"/>
      <c r="D38" s="347"/>
      <c r="E38" s="347"/>
      <c r="F38" s="347"/>
      <c r="G38" s="347"/>
      <c r="H38" s="348"/>
    </row>
    <row r="39" spans="2:8" ht="15" customHeight="1">
      <c r="B39" s="19"/>
      <c r="C39" s="73"/>
      <c r="D39" s="73"/>
      <c r="E39" s="73"/>
      <c r="F39" s="73"/>
      <c r="G39" s="73"/>
      <c r="H39" s="40"/>
    </row>
    <row r="40" spans="2:8" ht="15" customHeight="1">
      <c r="B40" s="17"/>
      <c r="C40" s="132"/>
      <c r="D40" s="132"/>
      <c r="E40" s="132"/>
      <c r="F40" s="132"/>
      <c r="G40" s="132"/>
      <c r="H40" s="152"/>
    </row>
    <row r="41" spans="2:8" ht="15" customHeight="1">
      <c r="B41" s="17"/>
      <c r="C41" s="132"/>
      <c r="D41" s="132"/>
      <c r="E41" s="132"/>
      <c r="F41" s="132"/>
      <c r="G41" s="132"/>
      <c r="H41" s="152"/>
    </row>
    <row r="42" spans="2:8" ht="15" customHeight="1">
      <c r="B42" s="17"/>
      <c r="C42" s="132"/>
      <c r="D42" s="132"/>
      <c r="E42" s="132"/>
      <c r="F42" s="132"/>
      <c r="G42" s="132"/>
      <c r="H42" s="152"/>
    </row>
    <row r="43" spans="2:8" ht="15" customHeight="1">
      <c r="B43" s="17"/>
      <c r="C43" s="132"/>
      <c r="D43" s="132"/>
      <c r="E43" s="132"/>
      <c r="F43" s="132"/>
      <c r="G43" s="132"/>
      <c r="H43" s="152"/>
    </row>
    <row r="44" spans="2:8" ht="15" customHeight="1">
      <c r="B44" s="17"/>
      <c r="C44" s="132"/>
      <c r="D44" s="132"/>
      <c r="E44" s="132"/>
      <c r="F44" s="132"/>
      <c r="G44" s="132"/>
      <c r="H44" s="152"/>
    </row>
    <row r="45" spans="2:8" ht="15" customHeight="1">
      <c r="B45" s="17"/>
      <c r="C45" s="132"/>
      <c r="D45" s="132"/>
      <c r="E45" s="132"/>
      <c r="F45" s="132"/>
      <c r="G45" s="132"/>
      <c r="H45" s="152"/>
    </row>
    <row r="46" spans="2:8" ht="15" customHeight="1">
      <c r="B46" s="17"/>
      <c r="C46" s="132"/>
      <c r="D46" s="132"/>
      <c r="E46" s="132"/>
      <c r="F46" s="132"/>
      <c r="G46" s="132"/>
      <c r="H46" s="152"/>
    </row>
    <row r="47" spans="2:8" ht="15" customHeight="1">
      <c r="B47" s="17"/>
      <c r="C47" s="132"/>
      <c r="D47" s="132"/>
      <c r="E47" s="132"/>
      <c r="F47" s="132"/>
      <c r="G47" s="132"/>
      <c r="H47" s="152"/>
    </row>
    <row r="48" spans="2:8" ht="15" customHeight="1">
      <c r="B48" s="17"/>
      <c r="C48" s="132"/>
      <c r="D48" s="132"/>
      <c r="E48" s="132"/>
      <c r="F48" s="132"/>
      <c r="G48" s="132"/>
      <c r="H48" s="152"/>
    </row>
    <row r="49" spans="2:8" ht="15" customHeight="1">
      <c r="B49" s="17"/>
      <c r="C49" s="132"/>
      <c r="D49" s="132"/>
      <c r="E49" s="132"/>
      <c r="F49" s="132"/>
      <c r="G49" s="132"/>
      <c r="H49" s="152"/>
    </row>
    <row r="50" spans="2:8" ht="15" customHeight="1">
      <c r="B50" s="17"/>
      <c r="C50" s="132"/>
      <c r="D50" s="132"/>
      <c r="E50" s="132"/>
      <c r="F50" s="132"/>
      <c r="G50" s="132"/>
      <c r="H50" s="152"/>
    </row>
    <row r="51" spans="2:8" ht="15" customHeight="1">
      <c r="B51" s="17"/>
      <c r="C51" s="132"/>
      <c r="D51" s="132"/>
      <c r="E51" s="132"/>
      <c r="F51" s="132"/>
      <c r="G51" s="132"/>
      <c r="H51" s="152"/>
    </row>
    <row r="52" spans="2:8" ht="15" customHeight="1">
      <c r="B52" s="17"/>
      <c r="C52" s="132"/>
      <c r="D52" s="132"/>
      <c r="E52" s="132"/>
      <c r="F52" s="132"/>
      <c r="G52" s="132"/>
      <c r="H52" s="152"/>
    </row>
    <row r="53" spans="2:8" ht="15" customHeight="1">
      <c r="B53" s="17"/>
      <c r="C53" s="132"/>
      <c r="D53" s="132"/>
      <c r="E53" s="132"/>
      <c r="F53" s="132"/>
      <c r="G53" s="132"/>
      <c r="H53" s="152"/>
    </row>
    <row r="54" spans="2:8" ht="15" customHeight="1">
      <c r="B54" s="17"/>
      <c r="C54" s="132"/>
      <c r="D54" s="132"/>
      <c r="E54" s="132"/>
      <c r="F54" s="132"/>
      <c r="G54" s="132"/>
      <c r="H54" s="152"/>
    </row>
    <row r="55" spans="2:8" ht="15" customHeight="1">
      <c r="B55" s="17"/>
      <c r="C55" s="132"/>
      <c r="D55" s="132"/>
      <c r="E55" s="132"/>
      <c r="F55" s="132"/>
      <c r="G55" s="132"/>
      <c r="H55" s="152"/>
    </row>
    <row r="56" spans="2:8" ht="15" customHeight="1">
      <c r="B56" s="17"/>
      <c r="C56" s="132"/>
      <c r="D56" s="132"/>
      <c r="E56" s="132"/>
      <c r="F56" s="132"/>
      <c r="G56" s="132"/>
      <c r="H56" s="152"/>
    </row>
    <row r="57" spans="2:8" ht="15" customHeight="1">
      <c r="B57" s="17"/>
      <c r="C57" s="132"/>
      <c r="D57" s="132"/>
      <c r="E57" s="132"/>
      <c r="F57" s="132"/>
      <c r="G57" s="132"/>
      <c r="H57" s="152"/>
    </row>
    <row r="58" spans="2:8" ht="15" customHeight="1">
      <c r="B58" s="17"/>
      <c r="C58" s="132"/>
      <c r="D58" s="132"/>
      <c r="E58" s="132"/>
      <c r="F58" s="132"/>
      <c r="G58" s="132"/>
      <c r="H58" s="152"/>
    </row>
    <row r="59" spans="2:8" ht="15" customHeight="1">
      <c r="B59" s="17"/>
      <c r="C59" s="132"/>
      <c r="D59" s="132"/>
      <c r="E59" s="132"/>
      <c r="F59" s="132"/>
      <c r="G59" s="132"/>
      <c r="H59" s="152"/>
    </row>
    <row r="60" spans="2:8" ht="15" customHeight="1">
      <c r="B60" s="17"/>
      <c r="C60" s="132"/>
      <c r="D60" s="132"/>
      <c r="E60" s="132"/>
      <c r="F60" s="132"/>
      <c r="G60" s="132"/>
      <c r="H60" s="152"/>
    </row>
    <row r="61" spans="2:8" ht="15" customHeight="1">
      <c r="B61" s="17"/>
      <c r="C61" s="132"/>
      <c r="D61" s="132"/>
      <c r="E61" s="132"/>
      <c r="F61" s="132"/>
      <c r="G61" s="132"/>
      <c r="H61" s="152"/>
    </row>
    <row r="62" spans="2:8" ht="15" customHeight="1">
      <c r="B62" s="17"/>
      <c r="C62" s="132"/>
      <c r="D62" s="132"/>
      <c r="E62" s="132"/>
      <c r="F62" s="132"/>
      <c r="G62" s="132"/>
      <c r="H62" s="152"/>
    </row>
    <row r="63" spans="2:8" ht="15" customHeight="1">
      <c r="B63" s="18"/>
      <c r="C63" s="74"/>
      <c r="D63" s="74"/>
      <c r="E63" s="74"/>
      <c r="F63" s="74"/>
      <c r="G63" s="74"/>
      <c r="H63" s="156"/>
    </row>
    <row r="64" spans="2:8" ht="15" customHeight="1"/>
    <row r="80" ht="14.5" hidden="1"/>
    <row r="81" customFormat="1" ht="15" hidden="1" customHeight="1"/>
    <row r="82" customFormat="1" ht="15" hidden="1" customHeight="1"/>
    <row r="83" customFormat="1" ht="15" hidden="1" customHeight="1"/>
    <row r="84" customFormat="1" ht="15" hidden="1" customHeight="1"/>
    <row r="85" customFormat="1" ht="15" hidden="1" customHeight="1"/>
  </sheetData>
  <sheetProtection sheet="1" objects="1" scenarios="1" selectLockedCells="1"/>
  <pageMargins left="0.7" right="0.7"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2FB-9489-4EF0-8BE5-55DAA1631C59}">
  <sheetPr>
    <tabColor rgb="FF172C51"/>
    <pageSetUpPr fitToPage="1"/>
  </sheetPr>
  <dimension ref="A1:I80"/>
  <sheetViews>
    <sheetView showGridLines="0" zoomScale="90" zoomScaleNormal="90" workbookViewId="0">
      <pane ySplit="3" topLeftCell="A4" activePane="bottomLeft" state="frozen"/>
      <selection activeCell="A4" sqref="A4"/>
      <selection pane="bottomLeft" activeCell="C29" sqref="C29"/>
    </sheetView>
  </sheetViews>
  <sheetFormatPr defaultColWidth="0" defaultRowHeight="14.5" zeroHeight="1"/>
  <cols>
    <col min="1" max="1" width="2.81640625" customWidth="1"/>
    <col min="2" max="2" width="43.54296875" customWidth="1"/>
    <col min="3" max="3" width="21.453125" customWidth="1"/>
    <col min="4" max="4" width="28.54296875" customWidth="1"/>
    <col min="5" max="5" width="4.453125" customWidth="1"/>
    <col min="6" max="6" width="43.54296875" customWidth="1"/>
    <col min="7" max="7" width="22.7265625" customWidth="1"/>
    <col min="8" max="8" width="28.54296875" customWidth="1"/>
    <col min="9" max="9" width="3" customWidth="1"/>
    <col min="10" max="16384" width="8.7265625" hidden="1"/>
  </cols>
  <sheetData>
    <row r="1" spans="1:9">
      <c r="A1" s="89"/>
      <c r="B1" s="89"/>
      <c r="C1" s="89"/>
      <c r="D1" s="89"/>
      <c r="E1" s="89"/>
      <c r="F1" s="89"/>
      <c r="G1" s="89"/>
      <c r="H1" s="89"/>
      <c r="I1" s="89"/>
    </row>
    <row r="2" spans="1:9" ht="33" customHeight="1">
      <c r="A2" s="89"/>
      <c r="B2" s="89"/>
      <c r="C2" s="89"/>
      <c r="D2" s="89"/>
      <c r="E2" s="89"/>
      <c r="F2" s="89"/>
      <c r="G2" s="89"/>
      <c r="H2" s="89"/>
      <c r="I2" s="89"/>
    </row>
    <row r="3" spans="1:9">
      <c r="A3" s="89"/>
      <c r="B3" s="89"/>
      <c r="C3" s="89"/>
      <c r="D3" s="89"/>
      <c r="E3" s="89"/>
      <c r="F3" s="89"/>
      <c r="G3" s="89"/>
      <c r="H3" s="89"/>
      <c r="I3" s="89"/>
    </row>
    <row r="4" spans="1:9"/>
    <row r="5" spans="1:9" ht="15" customHeight="1">
      <c r="B5" s="383" t="s">
        <v>0</v>
      </c>
      <c r="C5" s="381"/>
      <c r="D5" s="381"/>
      <c r="F5" s="381" t="s">
        <v>1</v>
      </c>
      <c r="G5" s="381"/>
      <c r="H5" s="382"/>
    </row>
    <row r="6" spans="1:9" ht="15" customHeight="1">
      <c r="B6" s="44" t="s">
        <v>2</v>
      </c>
      <c r="C6" s="151" t="str">
        <f>'Woco - Project'!C6</f>
        <v>Corporatie A</v>
      </c>
      <c r="D6" s="152"/>
      <c r="F6" s="13" t="s">
        <v>3</v>
      </c>
      <c r="G6" s="153" t="str">
        <f>'Ontwikkelaar - VEX'!C6</f>
        <v>Ontwikkelaar A</v>
      </c>
      <c r="H6" s="154"/>
    </row>
    <row r="7" spans="1:9" ht="15" customHeight="1">
      <c r="B7" s="45" t="s">
        <v>4</v>
      </c>
      <c r="C7" s="155">
        <f>'Woco - Project'!C7</f>
        <v>45691</v>
      </c>
      <c r="D7" s="156"/>
      <c r="F7" s="14" t="s">
        <v>4</v>
      </c>
      <c r="G7" s="157">
        <f>'Ontwikkelaar - VEX'!C7</f>
        <v>45691</v>
      </c>
      <c r="H7" s="158"/>
    </row>
    <row r="8" spans="1:9" ht="15" customHeight="1">
      <c r="B8" s="99"/>
      <c r="C8" s="100"/>
      <c r="G8" s="101"/>
      <c r="H8" s="102"/>
    </row>
    <row r="9" spans="1:9" ht="15" customHeight="1">
      <c r="B9" s="379" t="s">
        <v>5</v>
      </c>
      <c r="C9" s="380"/>
      <c r="D9" s="380"/>
      <c r="F9" s="379" t="s">
        <v>5</v>
      </c>
      <c r="G9" s="380"/>
      <c r="H9" s="380"/>
    </row>
    <row r="10" spans="1:9" ht="15" customHeight="1">
      <c r="B10" s="15" t="s">
        <v>6</v>
      </c>
      <c r="C10" s="159" t="str">
        <f>'Woco - Project'!C10</f>
        <v>[open invulling]</v>
      </c>
      <c r="D10" s="160"/>
      <c r="F10" s="15" t="s">
        <v>6</v>
      </c>
      <c r="G10" s="159" t="str">
        <f>'Ontwikkelaar - VEX'!C10</f>
        <v>[open invulling]</v>
      </c>
      <c r="H10" s="160"/>
    </row>
    <row r="11" spans="1:9" ht="15" customHeight="1">
      <c r="B11" s="13" t="s">
        <v>7</v>
      </c>
      <c r="C11" s="161">
        <f>'Woco - Project'!C11</f>
        <v>1</v>
      </c>
      <c r="D11" s="162"/>
      <c r="F11" s="13" t="s">
        <v>7</v>
      </c>
      <c r="G11" s="161">
        <f>'Ontwikkelaar - VEX'!C11</f>
        <v>1</v>
      </c>
      <c r="H11" s="162"/>
    </row>
    <row r="12" spans="1:9" ht="15" customHeight="1">
      <c r="B12" s="14" t="s">
        <v>8</v>
      </c>
      <c r="C12" s="163" t="str">
        <f>'Woco - Project'!C12</f>
        <v>Sociale huurwoningen</v>
      </c>
      <c r="D12" s="158"/>
      <c r="F12" s="14" t="s">
        <v>8</v>
      </c>
      <c r="G12" s="163" t="str">
        <f>'Ontwikkelaar - VEX'!C12</f>
        <v>Sociale huurwoningen</v>
      </c>
      <c r="H12" s="158"/>
    </row>
    <row r="13" spans="1:9" ht="15" customHeight="1"/>
    <row r="14" spans="1:9" ht="15" customHeight="1">
      <c r="B14" s="46"/>
      <c r="C14" s="43"/>
      <c r="D14" s="43"/>
      <c r="E14" s="53" t="s">
        <v>9</v>
      </c>
      <c r="F14" s="43"/>
      <c r="G14" s="43"/>
      <c r="H14" s="43"/>
    </row>
    <row r="15" spans="1:9" ht="15" customHeight="1"/>
    <row r="16" spans="1:9" ht="15" customHeight="1">
      <c r="B16" s="9" t="s">
        <v>10</v>
      </c>
      <c r="C16" s="9"/>
      <c r="D16" s="16" t="s">
        <v>11</v>
      </c>
      <c r="F16" s="10" t="s">
        <v>12</v>
      </c>
      <c r="G16" s="11"/>
      <c r="H16" s="12" t="s">
        <v>11</v>
      </c>
    </row>
    <row r="17" spans="2:8" ht="15" customHeight="1">
      <c r="B17" s="165" t="s">
        <v>14</v>
      </c>
      <c r="C17" s="166">
        <f>'Woco - Project'!C33</f>
        <v>0</v>
      </c>
      <c r="D17" s="167" t="str">
        <f>IF(ISBLANK('Woco - Project'!D33)," ",'Woco - Project'!D33)</f>
        <v>[…]</v>
      </c>
      <c r="F17" s="20" t="s">
        <v>93</v>
      </c>
      <c r="G17" s="164">
        <f>'Ontwikkelaar - VEX'!C21*(1+'Hulpblad - Uitgangspunten'!D10)</f>
        <v>0</v>
      </c>
      <c r="H17" s="183" t="str">
        <f>IF(ISBLANK('Ontwikkelaar - VEX'!D21)," ",'Ontwikkelaar - VEX'!D21)</f>
        <v>[…]</v>
      </c>
    </row>
    <row r="18" spans="2:8" ht="15" customHeight="1">
      <c r="B18" s="13" t="s">
        <v>13</v>
      </c>
      <c r="C18" s="198">
        <f>'Woco - Project'!C34</f>
        <v>0</v>
      </c>
      <c r="D18" s="167" t="str">
        <f>IF(ISBLANK('Woco - Project'!D34)," ",'Woco - Project'!D34)</f>
        <v>[…]</v>
      </c>
    </row>
    <row r="19" spans="2:8" ht="15" customHeight="1">
      <c r="B19" s="168" t="str">
        <f>'Woco - Project'!B35</f>
        <v>Interne kosten Corporatie A</v>
      </c>
      <c r="C19" s="169">
        <f>'Woco - Project'!C35</f>
        <v>0</v>
      </c>
      <c r="D19" s="199" t="str">
        <f>IF(ISBLANK('Woco - Project'!D35)," ",'Woco - Project'!D35)</f>
        <v>[…]</v>
      </c>
      <c r="F19" s="10" t="s">
        <v>15</v>
      </c>
      <c r="G19" s="11"/>
      <c r="H19" s="12" t="s">
        <v>11</v>
      </c>
    </row>
    <row r="20" spans="2:8" ht="15" customHeight="1">
      <c r="B20" s="18" t="s">
        <v>16</v>
      </c>
      <c r="C20" s="170">
        <f>'Woco - Project'!C36</f>
        <v>0</v>
      </c>
      <c r="D20" s="200" t="str">
        <f>IF(ISBLANK('Woco - Project'!D36)," ",'Woco - Project'!D36)</f>
        <v>[…]</v>
      </c>
      <c r="F20" s="15" t="str">
        <f>'Ontwikkelaar - VEX'!B24</f>
        <v>Totaal opbrengsten (excl. BTW)</v>
      </c>
      <c r="G20" s="171">
        <f>'Ontwikkelaar - VEX'!C24</f>
        <v>0</v>
      </c>
      <c r="H20" s="184" t="str">
        <f>IF(ISBLANK('Ontwikkelaar - VEX'!D24)," ",'Ontwikkelaar - VEX'!D24)</f>
        <v>[…]</v>
      </c>
    </row>
    <row r="21" spans="2:8" ht="15" customHeight="1">
      <c r="F21" s="185" t="str">
        <f>'Ontwikkelaar - VEX'!B39</f>
        <v>Totaal kosten (excl. BTW)</v>
      </c>
      <c r="G21" s="186">
        <f>'Ontwikkelaar - VEX'!C39</f>
        <v>0</v>
      </c>
      <c r="H21" s="167" t="str">
        <f>IF(ISBLANK('Ontwikkelaar - VEX'!D39),"-",'Ontwikkelaar - VEX'!D39)</f>
        <v>[…]</v>
      </c>
    </row>
    <row r="22" spans="2:8" ht="15" customHeight="1">
      <c r="B22" s="8" t="s">
        <v>17</v>
      </c>
      <c r="C22" s="9"/>
      <c r="D22" s="12" t="s">
        <v>11</v>
      </c>
      <c r="F22" s="14" t="str">
        <f>'Ontwikkelaar - VEX'!B46</f>
        <v>Saldo kosten &amp; opbrengsten</v>
      </c>
      <c r="G22" s="187">
        <f>'Ontwikkelaar - VEX'!C46</f>
        <v>0</v>
      </c>
      <c r="H22" s="188" t="str">
        <f>IF(ISBLANK('Ontwikkelaar - VEX'!D46)," ",'Ontwikkelaar - VEX'!D46)</f>
        <v>[…]</v>
      </c>
    </row>
    <row r="23" spans="2:8" ht="15" customHeight="1">
      <c r="B23" s="18" t="s">
        <v>18</v>
      </c>
      <c r="C23" s="172" t="str">
        <f>'Woco - Project'!C43</f>
        <v/>
      </c>
      <c r="D23" s="201" t="str">
        <f>IF(ISBLANK('Woco - Project'!D43)," ",'Woco - Project'!D43)</f>
        <v>[…]</v>
      </c>
      <c r="G23" s="83"/>
      <c r="H23" s="35"/>
    </row>
    <row r="24" spans="2:8" ht="15" customHeight="1">
      <c r="F24" s="10" t="s">
        <v>19</v>
      </c>
      <c r="G24" s="11"/>
      <c r="H24" s="16" t="s">
        <v>11</v>
      </c>
    </row>
    <row r="25" spans="2:8" ht="15" customHeight="1">
      <c r="B25" s="10" t="s">
        <v>20</v>
      </c>
      <c r="C25" s="11"/>
      <c r="D25" s="12" t="s">
        <v>11</v>
      </c>
      <c r="F25" s="19" t="str">
        <f>'Ontwikkelaar - VEX'!B49</f>
        <v>Verkoopprijs per woning</v>
      </c>
      <c r="G25" s="173">
        <f>'Ontwikkelaar - VEX'!C49</f>
        <v>0</v>
      </c>
      <c r="H25" s="189" t="str">
        <f>IF(ISBLANK('Ontwikkelaar - VEX'!D49)," ",'Ontwikkelaar - VEX'!D49)</f>
        <v>[…]</v>
      </c>
    </row>
    <row r="26" spans="2:8" ht="15" customHeight="1">
      <c r="B26" s="19" t="s">
        <v>21</v>
      </c>
      <c r="C26" s="174">
        <f>'Woco - Project'!C48</f>
        <v>0</v>
      </c>
      <c r="D26" s="202" t="str">
        <f>IF(ISBLANK('Woco - Project'!D48)," ",'Woco - Project'!D48)</f>
        <v>[…]</v>
      </c>
      <c r="F26" s="17" t="str">
        <f>'Ontwikkelaar - VEX'!B50</f>
        <v>Verkoopprijs per m² bruto vloeroppervlak</v>
      </c>
      <c r="G26" s="175">
        <f>'Ontwikkelaar - VEX'!C50</f>
        <v>0</v>
      </c>
      <c r="H26" s="189" t="str">
        <f>IF(ISBLANK('Ontwikkelaar - VEX'!D50)," ",'Ontwikkelaar - VEX'!D50)</f>
        <v>[…]</v>
      </c>
    </row>
    <row r="27" spans="2:8" ht="15" customHeight="1">
      <c r="B27" s="17" t="s">
        <v>220</v>
      </c>
      <c r="C27" s="56">
        <f>'Woco - Project'!C49</f>
        <v>0</v>
      </c>
      <c r="D27" s="203" t="str">
        <f>IF(ISBLANK('Woco - Project'!D49)," ",'Woco - Project'!D49)</f>
        <v>[…]</v>
      </c>
      <c r="F27" s="18" t="str">
        <f>'Ontwikkelaar - VEX'!B51</f>
        <v>Verkoopprijs per m² bruto gebruiksoppervlak</v>
      </c>
      <c r="G27" s="177">
        <f>'Ontwikkelaar - VEX'!C51</f>
        <v>0</v>
      </c>
      <c r="H27" s="188" t="str">
        <f>IF(ISBLANK('Ontwikkelaar - VEX'!D51)," ",'Ontwikkelaar - VEX'!D51)</f>
        <v>[…]</v>
      </c>
    </row>
    <row r="28" spans="2:8" ht="15" customHeight="1">
      <c r="B28" s="17" t="s">
        <v>22</v>
      </c>
      <c r="C28" s="176">
        <f>'Woco - Project'!C50</f>
        <v>0</v>
      </c>
      <c r="D28" s="203" t="str">
        <f>IF(ISBLANK('Woco - Project'!D50)," ",'Woco - Project'!D50)</f>
        <v>[…]</v>
      </c>
    </row>
    <row r="29" spans="2:8" ht="15" customHeight="1">
      <c r="B29" s="17" t="s">
        <v>23</v>
      </c>
      <c r="C29" s="56">
        <f>'Woco - Project'!C52</f>
        <v>0</v>
      </c>
      <c r="D29" s="203" t="str">
        <f>IF(ISBLANK('Woco - Project'!D52)," ",'Woco - Project'!D52)</f>
        <v>[…]</v>
      </c>
      <c r="F29" s="8" t="s">
        <v>25</v>
      </c>
      <c r="G29" s="9"/>
      <c r="H29" s="12" t="s">
        <v>11</v>
      </c>
    </row>
    <row r="30" spans="2:8" ht="15" customHeight="1">
      <c r="B30" s="17" t="s">
        <v>221</v>
      </c>
      <c r="C30" s="56">
        <f>'Woco - Project'!C53</f>
        <v>0</v>
      </c>
      <c r="D30" s="203" t="str">
        <f>IF(ISBLANK('Woco - Project'!D53)," ",'Woco - Project'!D53)</f>
        <v>[…]</v>
      </c>
      <c r="F30" s="19" t="str">
        <f>'Ontwikkelaar - VEX'!B54</f>
        <v>Grondkosten per woning</v>
      </c>
      <c r="G30" s="179">
        <f>'Ontwikkelaar - VEX'!C54</f>
        <v>0</v>
      </c>
      <c r="H30" s="190" t="str">
        <f>IF(ISBLANK('Ontwikkelaar - VEX'!D54)," ",'Ontwikkelaar - VEX'!D54)</f>
        <v>[…]</v>
      </c>
    </row>
    <row r="31" spans="2:8" ht="15" customHeight="1">
      <c r="B31" s="18" t="s">
        <v>24</v>
      </c>
      <c r="C31" s="178">
        <f>'Woco - Project'!C54</f>
        <v>0</v>
      </c>
      <c r="D31" s="204" t="str">
        <f>IF(ISBLANK('Woco - Project'!D54)," ",'Woco - Project'!D54)</f>
        <v>[…]</v>
      </c>
      <c r="F31" s="18" t="str">
        <f>'Ontwikkelaar - VEX'!B55</f>
        <v>Grondquote</v>
      </c>
      <c r="G31" s="180">
        <f>'Ontwikkelaar - VEX'!C55</f>
        <v>0</v>
      </c>
      <c r="H31" s="191" t="str">
        <f>IF(ISBLANK('Ontwikkelaar - VEX'!D55)," ",'Ontwikkelaar - VEX'!D55)</f>
        <v>[…]</v>
      </c>
    </row>
    <row r="32" spans="2:8" ht="15" customHeight="1"/>
    <row r="33" spans="2:8" ht="15" customHeight="1">
      <c r="B33" s="10" t="s">
        <v>26</v>
      </c>
      <c r="C33" s="11"/>
      <c r="D33" s="12" t="s">
        <v>11</v>
      </c>
      <c r="F33" s="8" t="s">
        <v>29</v>
      </c>
      <c r="G33" s="9"/>
      <c r="H33" s="16" t="s">
        <v>11</v>
      </c>
    </row>
    <row r="34" spans="2:8" ht="15" customHeight="1">
      <c r="B34" s="19" t="s">
        <v>27</v>
      </c>
      <c r="C34" s="146" t="str">
        <f>'Woco - Project'!C57</f>
        <v/>
      </c>
      <c r="D34" s="205" t="str">
        <f>IF(ISBLANK('Woco - Project'!D57)," ",'Woco - Project'!D57)</f>
        <v>[…]</v>
      </c>
      <c r="F34" s="19" t="str">
        <f>'Ontwikkelaar - VEX'!B58</f>
        <v>Bouwkosten per woning</v>
      </c>
      <c r="G34" s="173">
        <f>'Ontwikkelaar - VEX'!C58</f>
        <v>0</v>
      </c>
      <c r="H34" s="189" t="str">
        <f>IF(ISBLANK('Ontwikkelaar - VEX'!D58)," ",'Ontwikkelaar - VEX'!D58)</f>
        <v>[…]</v>
      </c>
    </row>
    <row r="35" spans="2:8" ht="15" customHeight="1">
      <c r="B35" s="26" t="s">
        <v>28</v>
      </c>
      <c r="C35" s="147" t="str">
        <f>'Woco - Project'!C58</f>
        <v/>
      </c>
      <c r="D35" s="206" t="str">
        <f>IF(ISBLANK('Woco - Project'!D58)," ",'Woco - Project'!D58)</f>
        <v>[…]</v>
      </c>
      <c r="F35" s="17" t="str">
        <f>'Ontwikkelaar - VEX'!B59</f>
        <v>Bouwkosten per m² bruto vloeroppervlak</v>
      </c>
      <c r="G35" s="175">
        <f>'Ontwikkelaar - VEX'!C59</f>
        <v>0</v>
      </c>
      <c r="H35" s="189" t="str">
        <f>IF(ISBLANK('Ontwikkelaar - VEX'!D59)," ",'Ontwikkelaar - VEX'!D59)</f>
        <v>[…]</v>
      </c>
    </row>
    <row r="36" spans="2:8" ht="15" customHeight="1">
      <c r="B36" s="134" t="s">
        <v>30</v>
      </c>
      <c r="C36" s="113" t="str">
        <f>'Woco - Project'!C59</f>
        <v/>
      </c>
      <c r="D36" s="207" t="str">
        <f>IF(ISBLANK('Woco - Project'!D59)," ",'Woco - Project'!D59)</f>
        <v>[…]</v>
      </c>
      <c r="F36" s="18" t="str">
        <f>'Ontwikkelaar - VEX'!B60</f>
        <v>Bouwkosten per m² gebruiksoppervlak</v>
      </c>
      <c r="G36" s="177">
        <f>'Ontwikkelaar - VEX'!C60</f>
        <v>0</v>
      </c>
      <c r="H36" s="188" t="str">
        <f>IF(ISBLANK('Ontwikkelaar - VEX'!D60)," ",'Ontwikkelaar - VEX'!D60)</f>
        <v>[…]</v>
      </c>
    </row>
    <row r="37" spans="2:8" ht="15" customHeight="1">
      <c r="G37" s="110"/>
      <c r="H37" s="111"/>
    </row>
    <row r="38" spans="2:8" ht="15" customHeight="1">
      <c r="F38" s="8" t="s">
        <v>31</v>
      </c>
      <c r="G38" s="9"/>
      <c r="H38" s="12" t="s">
        <v>11</v>
      </c>
    </row>
    <row r="39" spans="2:8" ht="15" customHeight="1">
      <c r="F39" s="17" t="str">
        <f>'Ontwikkelaar - VEX'!B63</f>
        <v>Bijkomende kosten per woning</v>
      </c>
      <c r="G39" s="181">
        <f>'Ontwikkelaar - VEX'!C63</f>
        <v>0</v>
      </c>
      <c r="H39" s="190" t="str">
        <f>IF(ISBLANK('Ontwikkelaar - VEX'!D63)," ",'Ontwikkelaar - VEX'!D63)</f>
        <v>[…]</v>
      </c>
    </row>
    <row r="40" spans="2:8" ht="15" customHeight="1">
      <c r="F40" s="17" t="str">
        <f>'Ontwikkelaar - VEX'!B64</f>
        <v>Bijkomende kosten per m² bruto vloeroppervlak</v>
      </c>
      <c r="G40" s="181">
        <f>'Ontwikkelaar - VEX'!C64</f>
        <v>0</v>
      </c>
      <c r="H40" s="192" t="str">
        <f>IF(ISBLANK('Ontwikkelaar - VEX'!D64)," ",'Ontwikkelaar - VEX'!D64)</f>
        <v>[…]</v>
      </c>
    </row>
    <row r="41" spans="2:8" ht="15" customHeight="1">
      <c r="F41" s="18" t="str">
        <f>'Ontwikkelaar - VEX'!B65</f>
        <v>Bijkomende kosten per m² bruto gebruiksoppervlak</v>
      </c>
      <c r="G41" s="182">
        <f>'Ontwikkelaar - VEX'!C65</f>
        <v>0</v>
      </c>
      <c r="H41" s="191" t="str">
        <f>IF(ISBLANK('Ontwikkelaar - VEX'!D65)," ",'Ontwikkelaar - VEX'!D65)</f>
        <v>[…]</v>
      </c>
    </row>
    <row r="42" spans="2:8" ht="15" customHeight="1"/>
    <row r="43" spans="2:8" ht="15" customHeight="1">
      <c r="B43" s="46"/>
      <c r="C43" s="43"/>
      <c r="D43" s="43"/>
      <c r="E43" s="53" t="s">
        <v>32</v>
      </c>
      <c r="F43" s="43"/>
      <c r="G43" s="43"/>
      <c r="H43" s="43"/>
    </row>
    <row r="44" spans="2:8" ht="15" customHeight="1"/>
    <row r="45" spans="2:8" ht="15" customHeight="1">
      <c r="B45" s="32" t="s">
        <v>33</v>
      </c>
      <c r="C45" s="37" t="s">
        <v>11</v>
      </c>
      <c r="D45" s="16" t="s">
        <v>34</v>
      </c>
      <c r="F45" s="41" t="s">
        <v>35</v>
      </c>
      <c r="G45" s="42" t="s">
        <v>11</v>
      </c>
      <c r="H45" s="16" t="s">
        <v>34</v>
      </c>
    </row>
    <row r="46" spans="2:8" ht="15" customHeight="1">
      <c r="B46" s="376" t="s">
        <v>36</v>
      </c>
      <c r="C46" s="352" t="str">
        <f>'Woco - Project'!G17</f>
        <v>[open invulling]</v>
      </c>
      <c r="D46" s="355" t="str">
        <f>'Woco - Project'!H17</f>
        <v>★</v>
      </c>
      <c r="F46" s="370" t="str">
        <f>'Ontwikkelaar - VEX'!F17</f>
        <v>Co2-reductie</v>
      </c>
      <c r="G46" s="370" t="str">
        <f>'Ontwikkelaar - VEX'!G17</f>
        <v>[open invulling]</v>
      </c>
      <c r="H46" s="373" t="str">
        <f>'Ontwikkelaar - VEX'!H17</f>
        <v>[-]</v>
      </c>
    </row>
    <row r="47" spans="2:8" ht="15" customHeight="1">
      <c r="B47" s="377"/>
      <c r="C47" s="353"/>
      <c r="D47" s="356"/>
      <c r="F47" s="371"/>
      <c r="G47" s="371"/>
      <c r="H47" s="374"/>
    </row>
    <row r="48" spans="2:8" ht="15" customHeight="1">
      <c r="B48" s="378"/>
      <c r="C48" s="354"/>
      <c r="D48" s="357"/>
      <c r="F48" s="372"/>
      <c r="G48" s="372"/>
      <c r="H48" s="375"/>
    </row>
    <row r="49" spans="2:8" ht="15" customHeight="1">
      <c r="B49" s="376" t="s">
        <v>37</v>
      </c>
      <c r="C49" s="352" t="str">
        <f>'Woco - Project'!G20</f>
        <v>[open invulling]</v>
      </c>
      <c r="D49" s="355" t="str">
        <f>'Woco - Project'!H20</f>
        <v>[-]</v>
      </c>
      <c r="F49" s="370" t="str">
        <f>'Ontwikkelaar - VEX'!F20</f>
        <v>Duurzaamheid</v>
      </c>
      <c r="G49" s="370" t="str">
        <f>'Ontwikkelaar - VEX'!G20</f>
        <v>[open invulling]</v>
      </c>
      <c r="H49" s="373" t="str">
        <f>'Ontwikkelaar - VEX'!H20</f>
        <v>[-]</v>
      </c>
    </row>
    <row r="50" spans="2:8" ht="15" customHeight="1">
      <c r="B50" s="377"/>
      <c r="C50" s="353"/>
      <c r="D50" s="356"/>
      <c r="F50" s="371"/>
      <c r="G50" s="371"/>
      <c r="H50" s="374"/>
    </row>
    <row r="51" spans="2:8" ht="15" customHeight="1">
      <c r="B51" s="378"/>
      <c r="C51" s="354"/>
      <c r="D51" s="357"/>
      <c r="F51" s="372"/>
      <c r="G51" s="372"/>
      <c r="H51" s="375"/>
    </row>
    <row r="52" spans="2:8" ht="15" customHeight="1">
      <c r="B52" s="376" t="s">
        <v>38</v>
      </c>
      <c r="C52" s="352" t="str">
        <f>'Woco - Project'!G23</f>
        <v>[open invulling]</v>
      </c>
      <c r="D52" s="355" t="str">
        <f>'Woco - Project'!H23</f>
        <v>[-]</v>
      </c>
      <c r="F52" s="370" t="str">
        <f>'Ontwikkelaar - VEX'!F23</f>
        <v>Aandeel sociaal in totaal</v>
      </c>
      <c r="G52" s="370" t="str">
        <f>'Ontwikkelaar - VEX'!G23</f>
        <v>[open invulling]</v>
      </c>
      <c r="H52" s="373" t="str">
        <f>'Ontwikkelaar - VEX'!H23</f>
        <v>[-]</v>
      </c>
    </row>
    <row r="53" spans="2:8" ht="15" customHeight="1">
      <c r="B53" s="377"/>
      <c r="C53" s="353"/>
      <c r="D53" s="356"/>
      <c r="F53" s="371"/>
      <c r="G53" s="371"/>
      <c r="H53" s="374"/>
    </row>
    <row r="54" spans="2:8" ht="15" customHeight="1">
      <c r="B54" s="378"/>
      <c r="C54" s="354"/>
      <c r="D54" s="357"/>
      <c r="F54" s="372"/>
      <c r="G54" s="372"/>
      <c r="H54" s="375"/>
    </row>
    <row r="55" spans="2:8" ht="15" customHeight="1">
      <c r="B55" s="376" t="s">
        <v>39</v>
      </c>
      <c r="C55" s="352" t="str">
        <f>'Woco - Project'!G26</f>
        <v>[open invulling]</v>
      </c>
      <c r="D55" s="355" t="str">
        <f>'Woco - Project'!H26</f>
        <v>[-]</v>
      </c>
      <c r="F55" s="370" t="str">
        <f>'Ontwikkelaar - VEX'!F26</f>
        <v>Versterken van gemeenschap</v>
      </c>
      <c r="G55" s="370" t="str">
        <f>'Ontwikkelaar - VEX'!G26</f>
        <v>[open invulling]</v>
      </c>
      <c r="H55" s="373" t="str">
        <f>'Ontwikkelaar - VEX'!H26</f>
        <v>[-]</v>
      </c>
    </row>
    <row r="56" spans="2:8" ht="15" customHeight="1">
      <c r="B56" s="377"/>
      <c r="C56" s="353"/>
      <c r="D56" s="356"/>
      <c r="F56" s="371"/>
      <c r="G56" s="371"/>
      <c r="H56" s="374"/>
    </row>
    <row r="57" spans="2:8" ht="15" customHeight="1">
      <c r="B57" s="378"/>
      <c r="C57" s="354"/>
      <c r="D57" s="357"/>
      <c r="F57" s="372"/>
      <c r="G57" s="372"/>
      <c r="H57" s="375"/>
    </row>
    <row r="58" spans="2:8" ht="15" customHeight="1">
      <c r="B58" s="376" t="s">
        <v>40</v>
      </c>
      <c r="C58" s="352" t="str">
        <f>'Woco - Project'!G29</f>
        <v>[open invulling]</v>
      </c>
      <c r="D58" s="355" t="str">
        <f>'Woco - Project'!H29</f>
        <v>[-]</v>
      </c>
      <c r="F58" s="370" t="str">
        <f>'Ontwikkelaar - VEX'!F29</f>
        <v>Kwaliteit</v>
      </c>
      <c r="G58" s="370" t="str">
        <f>'Ontwikkelaar - VEX'!G29</f>
        <v>[open invulling]</v>
      </c>
      <c r="H58" s="373" t="str">
        <f>'Ontwikkelaar - VEX'!H29</f>
        <v>[-]</v>
      </c>
    </row>
    <row r="59" spans="2:8" ht="15" customHeight="1">
      <c r="B59" s="377"/>
      <c r="C59" s="353"/>
      <c r="D59" s="356"/>
      <c r="F59" s="371"/>
      <c r="G59" s="371"/>
      <c r="H59" s="374"/>
    </row>
    <row r="60" spans="2:8" ht="15" customHeight="1">
      <c r="B60" s="378"/>
      <c r="C60" s="354"/>
      <c r="D60" s="357"/>
      <c r="F60" s="372"/>
      <c r="G60" s="372"/>
      <c r="H60" s="375"/>
    </row>
    <row r="61" spans="2:8" ht="15" customHeight="1"/>
    <row r="62" spans="2:8" ht="15" customHeight="1">
      <c r="B62" s="32" t="s">
        <v>41</v>
      </c>
      <c r="C62" s="9" t="s">
        <v>11</v>
      </c>
      <c r="D62" s="16" t="s">
        <v>34</v>
      </c>
      <c r="F62" s="114" t="s">
        <v>42</v>
      </c>
      <c r="G62" s="37" t="s">
        <v>11</v>
      </c>
      <c r="H62" s="16" t="s">
        <v>34</v>
      </c>
    </row>
    <row r="63" spans="2:8" ht="15" customHeight="1">
      <c r="B63" s="349" t="s">
        <v>43</v>
      </c>
      <c r="C63" s="352" t="str">
        <f>'Woco - Project'!G34</f>
        <v>[open invulling]</v>
      </c>
      <c r="D63" s="355" t="str">
        <f>'Woco - Project'!H34</f>
        <v>[-]</v>
      </c>
      <c r="F63" s="358" t="str">
        <f>'Ontwikkelaar - VEX'!F34</f>
        <v>Besluitvorming</v>
      </c>
      <c r="G63" s="361" t="str">
        <f>'Ontwikkelaar - VEX'!G34</f>
        <v>[open invulling]</v>
      </c>
      <c r="H63" s="364" t="str">
        <f>'Ontwikkelaar - VEX'!H34</f>
        <v>[-]</v>
      </c>
    </row>
    <row r="64" spans="2:8" ht="15" customHeight="1">
      <c r="B64" s="350"/>
      <c r="C64" s="353"/>
      <c r="D64" s="356"/>
      <c r="F64" s="359"/>
      <c r="G64" s="362"/>
      <c r="H64" s="365"/>
    </row>
    <row r="65" spans="2:8" ht="15" customHeight="1">
      <c r="B65" s="351"/>
      <c r="C65" s="354"/>
      <c r="D65" s="357"/>
      <c r="F65" s="360"/>
      <c r="G65" s="363"/>
      <c r="H65" s="366"/>
    </row>
    <row r="66" spans="2:8" ht="15" customHeight="1">
      <c r="B66" s="376" t="s">
        <v>44</v>
      </c>
      <c r="C66" s="352" t="str">
        <f>'Woco - Project'!G37</f>
        <v>[open invulling]</v>
      </c>
      <c r="D66" s="355" t="str">
        <f>'Woco - Project'!H37</f>
        <v>[-]</v>
      </c>
      <c r="F66" s="367" t="str">
        <f>'Ontwikkelaar - VEX'!F37</f>
        <v>Risico aspecten</v>
      </c>
      <c r="G66" s="352" t="str">
        <f>'Ontwikkelaar - VEX'!G37</f>
        <v>[open invulling]</v>
      </c>
      <c r="H66" s="364" t="str">
        <f>'Ontwikkelaar - VEX'!H37</f>
        <v>[-]</v>
      </c>
    </row>
    <row r="67" spans="2:8" ht="15" customHeight="1">
      <c r="B67" s="377"/>
      <c r="C67" s="353"/>
      <c r="D67" s="356"/>
      <c r="F67" s="368"/>
      <c r="G67" s="353"/>
      <c r="H67" s="365"/>
    </row>
    <row r="68" spans="2:8" ht="15" customHeight="1">
      <c r="B68" s="378"/>
      <c r="C68" s="354"/>
      <c r="D68" s="357"/>
      <c r="F68" s="369"/>
      <c r="G68" s="354"/>
      <c r="H68" s="366"/>
    </row>
    <row r="69" spans="2:8" ht="15" customHeight="1">
      <c r="B69" s="31"/>
      <c r="C69" s="30"/>
    </row>
    <row r="70" spans="2:8" ht="15" customHeight="1">
      <c r="B70" s="32" t="s">
        <v>45</v>
      </c>
      <c r="C70" s="9" t="s">
        <v>11</v>
      </c>
      <c r="D70" s="16" t="s">
        <v>34</v>
      </c>
      <c r="F70" s="32" t="s">
        <v>45</v>
      </c>
      <c r="G70" s="9" t="s">
        <v>11</v>
      </c>
      <c r="H70" s="16" t="s">
        <v>34</v>
      </c>
    </row>
    <row r="71" spans="2:8" ht="15" customHeight="1">
      <c r="B71" s="349" t="s">
        <v>46</v>
      </c>
      <c r="C71" s="352" t="str">
        <f>'Woco - Project'!G42</f>
        <v>[open invulling]</v>
      </c>
      <c r="D71" s="355" t="str">
        <f>'Woco - Project'!H42</f>
        <v>[-]</v>
      </c>
      <c r="F71" s="349" t="str">
        <f>'Ontwikkelaar - VEX'!F42</f>
        <v>[open invulling]</v>
      </c>
      <c r="G71" s="352" t="str">
        <f>'Ontwikkelaar - VEX'!G42</f>
        <v>[open invulling]</v>
      </c>
      <c r="H71" s="355" t="str">
        <f>'Ontwikkelaar - VEX'!H42</f>
        <v>[-]</v>
      </c>
    </row>
    <row r="72" spans="2:8" ht="15" customHeight="1">
      <c r="B72" s="350"/>
      <c r="C72" s="353"/>
      <c r="D72" s="356"/>
      <c r="F72" s="350"/>
      <c r="G72" s="353"/>
      <c r="H72" s="356"/>
    </row>
    <row r="73" spans="2:8" ht="15" customHeight="1">
      <c r="B73" s="351"/>
      <c r="C73" s="354"/>
      <c r="D73" s="357"/>
      <c r="F73" s="351"/>
      <c r="G73" s="354"/>
      <c r="H73" s="357"/>
    </row>
    <row r="74" spans="2:8" ht="15" customHeight="1">
      <c r="B74" s="349" t="s">
        <v>47</v>
      </c>
      <c r="C74" s="352" t="str">
        <f>'Woco - Project'!G45</f>
        <v>[open invulling]</v>
      </c>
      <c r="D74" s="355" t="str">
        <f>'Woco - Project'!H45</f>
        <v>[-]</v>
      </c>
      <c r="F74" s="349" t="str">
        <f>'Ontwikkelaar - VEX'!F45</f>
        <v>[open invulling]</v>
      </c>
      <c r="G74" s="352" t="str">
        <f>'Ontwikkelaar - VEX'!G45</f>
        <v>[open invulling]</v>
      </c>
      <c r="H74" s="355" t="str">
        <f>'Ontwikkelaar - VEX'!H45</f>
        <v>[-]</v>
      </c>
    </row>
    <row r="75" spans="2:8" ht="15" customHeight="1">
      <c r="B75" s="350"/>
      <c r="C75" s="353"/>
      <c r="D75" s="356"/>
      <c r="F75" s="350"/>
      <c r="G75" s="353"/>
      <c r="H75" s="356"/>
    </row>
    <row r="76" spans="2:8" ht="15" customHeight="1">
      <c r="B76" s="350"/>
      <c r="C76" s="354"/>
      <c r="D76" s="357"/>
      <c r="F76" s="350"/>
      <c r="G76" s="354"/>
      <c r="H76" s="357"/>
    </row>
    <row r="77" spans="2:8" ht="15" customHeight="1">
      <c r="B77" s="349" t="s">
        <v>217</v>
      </c>
      <c r="C77" s="352" t="str">
        <f>'Woco - Project'!G48</f>
        <v>[open invulling]</v>
      </c>
      <c r="D77" s="355" t="str">
        <f>'Woco - Project'!H48</f>
        <v>[-]</v>
      </c>
      <c r="F77" s="349" t="str">
        <f>'Ontwikkelaar - VEX'!F48</f>
        <v>[open invulling]</v>
      </c>
      <c r="G77" s="352" t="str">
        <f>'Ontwikkelaar - VEX'!G48</f>
        <v>[open invulling]</v>
      </c>
      <c r="H77" s="355" t="str">
        <f>'Ontwikkelaar - VEX'!H48</f>
        <v>[-]</v>
      </c>
    </row>
    <row r="78" spans="2:8" ht="15" customHeight="1">
      <c r="B78" s="350"/>
      <c r="C78" s="353"/>
      <c r="D78" s="356"/>
      <c r="F78" s="350"/>
      <c r="G78" s="353"/>
      <c r="H78" s="356"/>
    </row>
    <row r="79" spans="2:8" ht="15" customHeight="1">
      <c r="B79" s="351"/>
      <c r="C79" s="354"/>
      <c r="D79" s="357"/>
      <c r="F79" s="351"/>
      <c r="G79" s="354"/>
      <c r="H79" s="357"/>
    </row>
    <row r="80" spans="2:8"/>
  </sheetData>
  <sheetProtection sheet="1" objects="1" scenarios="1" selectLockedCells="1"/>
  <mergeCells count="64">
    <mergeCell ref="F9:H9"/>
    <mergeCell ref="B9:D9"/>
    <mergeCell ref="F5:H5"/>
    <mergeCell ref="B46:B48"/>
    <mergeCell ref="B49:B51"/>
    <mergeCell ref="C49:C51"/>
    <mergeCell ref="D49:D51"/>
    <mergeCell ref="B5:D5"/>
    <mergeCell ref="G46:G48"/>
    <mergeCell ref="H46:H48"/>
    <mergeCell ref="C46:C48"/>
    <mergeCell ref="D46:D48"/>
    <mergeCell ref="F46:F48"/>
    <mergeCell ref="F49:F51"/>
    <mergeCell ref="G49:G51"/>
    <mergeCell ref="H49:H51"/>
    <mergeCell ref="D58:D60"/>
    <mergeCell ref="C63:C65"/>
    <mergeCell ref="B74:B76"/>
    <mergeCell ref="B77:B79"/>
    <mergeCell ref="C77:C79"/>
    <mergeCell ref="D77:D79"/>
    <mergeCell ref="B66:B68"/>
    <mergeCell ref="B71:B73"/>
    <mergeCell ref="B52:B54"/>
    <mergeCell ref="B55:B57"/>
    <mergeCell ref="C52:C54"/>
    <mergeCell ref="C74:C76"/>
    <mergeCell ref="D74:D76"/>
    <mergeCell ref="D52:D54"/>
    <mergeCell ref="C55:C57"/>
    <mergeCell ref="D55:D57"/>
    <mergeCell ref="D63:D65"/>
    <mergeCell ref="C66:C68"/>
    <mergeCell ref="D66:D68"/>
    <mergeCell ref="C71:C73"/>
    <mergeCell ref="D71:D73"/>
    <mergeCell ref="B58:B60"/>
    <mergeCell ref="B63:B65"/>
    <mergeCell ref="C58:C60"/>
    <mergeCell ref="F58:F60"/>
    <mergeCell ref="G58:G60"/>
    <mergeCell ref="H58:H60"/>
    <mergeCell ref="F52:F54"/>
    <mergeCell ref="G52:G54"/>
    <mergeCell ref="H52:H54"/>
    <mergeCell ref="F55:F57"/>
    <mergeCell ref="G55:G57"/>
    <mergeCell ref="H55:H57"/>
    <mergeCell ref="F63:F65"/>
    <mergeCell ref="G63:G65"/>
    <mergeCell ref="H63:H65"/>
    <mergeCell ref="F66:F68"/>
    <mergeCell ref="G66:G68"/>
    <mergeCell ref="H66:H68"/>
    <mergeCell ref="F77:F79"/>
    <mergeCell ref="G77:G79"/>
    <mergeCell ref="H77:H79"/>
    <mergeCell ref="F71:F73"/>
    <mergeCell ref="G71:G73"/>
    <mergeCell ref="H71:H73"/>
    <mergeCell ref="F74:F76"/>
    <mergeCell ref="G74:G76"/>
    <mergeCell ref="H74:H76"/>
  </mergeCells>
  <conditionalFormatting sqref="B46:C60 F46:G60 B63:C68 F63:G68 B71:C79 F71:G79">
    <cfRule type="cellIs" dxfId="14" priority="2" operator="equal">
      <formula>"[open invulling]"</formula>
    </cfRule>
  </conditionalFormatting>
  <conditionalFormatting sqref="C10 G10">
    <cfRule type="cellIs" dxfId="13" priority="1" operator="equal">
      <formula>"[open invulling]"</formula>
    </cfRule>
  </conditionalFormatting>
  <conditionalFormatting sqref="D46:D60 H46:H60 D63:D68 H63:H68 D71:D79 H71:H79">
    <cfRule type="containsText" dxfId="12" priority="3" operator="containsText" text="[-]">
      <formula>NOT(ISERROR(SEARCH("[-]",D46)))</formula>
    </cfRule>
  </conditionalFormatting>
  <conditionalFormatting sqref="H17 D17:D20 H20:H22 D23 H25:H27 H30:H31 D34:D36 H34:H36 H39:H41 D26:D31">
    <cfRule type="cellIs" dxfId="11" priority="5" operator="equal">
      <formula>"[…]"</formula>
    </cfRule>
  </conditionalFormatting>
  <dataValidations disablePrompts="1" count="4">
    <dataValidation allowBlank="1" showInputMessage="1" showErrorMessage="1" prompt="IRR 60 jaar, geen eindwaarde" sqref="B34" xr:uid="{847B2BB2-9B4B-4E23-B3FD-7CC62C24E0E1}"/>
    <dataValidation allowBlank="1" showInputMessage="1" showErrorMessage="1" prompt="IRR 15 jaar met eindwaarde op basis van beleidswaarde" sqref="B35" xr:uid="{153BBAC8-BA1C-4CEB-BD6E-966390F98FA8}"/>
    <dataValidation allowBlank="1" showInputMessage="1" showErrorMessage="1" prompt="IRR 15 jaar met eindwaarde op basis van marktwaarde" sqref="B36" xr:uid="{F0734C19-F162-4662-9B81-324C201D0788}"/>
    <dataValidation allowBlank="1" showInputMessage="1" showErrorMessage="1" prompt="(interne kosten, bijkomende kosten)" sqref="B19" xr:uid="{5F219A70-1CB5-4504-A292-CA862F7AF401}"/>
  </dataValidations>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D73B5-97E9-4AC5-AD22-74646150AD61}">
  <sheetPr codeName="Sheet2">
    <tabColor rgb="FF0099DA"/>
    <pageSetUpPr fitToPage="1"/>
  </sheetPr>
  <dimension ref="A1:L61"/>
  <sheetViews>
    <sheetView showGridLines="0" zoomScale="90" zoomScaleNormal="90" workbookViewId="0">
      <pane ySplit="3" topLeftCell="A4" activePane="bottomLeft" state="frozen"/>
      <selection activeCell="A4" sqref="A4"/>
      <selection pane="bottomLeft" activeCell="C53" sqref="C53"/>
    </sheetView>
  </sheetViews>
  <sheetFormatPr defaultColWidth="0" defaultRowHeight="15" customHeight="1" zeroHeight="1"/>
  <cols>
    <col min="1" max="1" width="2.81640625" customWidth="1"/>
    <col min="2" max="2" width="43.54296875" customWidth="1"/>
    <col min="3" max="3" width="21.453125" customWidth="1"/>
    <col min="4" max="4" width="28.54296875" customWidth="1"/>
    <col min="5" max="5" width="4.26953125" customWidth="1"/>
    <col min="6" max="6" width="21.453125" customWidth="1"/>
    <col min="7" max="7" width="42.81640625" customWidth="1"/>
    <col min="8" max="8" width="14.26953125" customWidth="1"/>
    <col min="9" max="9" width="2.81640625" customWidth="1"/>
    <col min="10" max="11" width="9.1796875" hidden="1" customWidth="1"/>
    <col min="12" max="12" width="15" hidden="1" customWidth="1"/>
    <col min="13" max="16384" width="9.1796875" hidden="1"/>
  </cols>
  <sheetData>
    <row r="1" spans="1:9" ht="15" customHeight="1">
      <c r="A1" s="89"/>
      <c r="B1" s="89"/>
      <c r="C1" s="89"/>
      <c r="D1" s="89"/>
      <c r="E1" s="89"/>
      <c r="F1" s="89"/>
      <c r="G1" s="89"/>
      <c r="H1" s="89"/>
      <c r="I1" s="89"/>
    </row>
    <row r="2" spans="1:9" ht="33.65" customHeight="1">
      <c r="A2" s="89"/>
      <c r="B2" s="148"/>
      <c r="C2" s="149"/>
      <c r="D2" s="393"/>
      <c r="E2" s="393"/>
      <c r="F2" s="148"/>
      <c r="G2" s="148"/>
      <c r="H2" s="148"/>
      <c r="I2" s="89"/>
    </row>
    <row r="3" spans="1:9" ht="14.5">
      <c r="A3" s="89"/>
      <c r="B3" s="148"/>
      <c r="C3" s="148"/>
      <c r="D3" s="148"/>
      <c r="E3" s="148"/>
      <c r="F3" s="148"/>
      <c r="G3" s="148"/>
      <c r="H3" s="148"/>
      <c r="I3" s="89"/>
    </row>
    <row r="4" spans="1:9" ht="15" customHeight="1">
      <c r="B4" s="3"/>
      <c r="C4" s="3"/>
      <c r="D4" s="3"/>
      <c r="E4" s="3"/>
      <c r="F4" s="3"/>
      <c r="G4" s="3"/>
    </row>
    <row r="5" spans="1:9" ht="15" customHeight="1">
      <c r="B5" s="21" t="s">
        <v>49</v>
      </c>
      <c r="C5" s="22"/>
    </row>
    <row r="6" spans="1:9" ht="15" customHeight="1">
      <c r="B6" s="13" t="s">
        <v>50</v>
      </c>
      <c r="C6" s="232" t="s">
        <v>51</v>
      </c>
    </row>
    <row r="7" spans="1:9" ht="15" customHeight="1">
      <c r="B7" s="14" t="s">
        <v>4</v>
      </c>
      <c r="C7" s="233">
        <v>45691</v>
      </c>
    </row>
    <row r="8" spans="1:9" ht="15" customHeight="1">
      <c r="C8" s="109"/>
    </row>
    <row r="9" spans="1:9" ht="15" customHeight="1">
      <c r="B9" s="21" t="s">
        <v>5</v>
      </c>
      <c r="C9" s="22"/>
    </row>
    <row r="10" spans="1:9" ht="15" customHeight="1">
      <c r="B10" s="13" t="s">
        <v>6</v>
      </c>
      <c r="C10" s="229" t="s">
        <v>59</v>
      </c>
    </row>
    <row r="11" spans="1:9" ht="15" customHeight="1">
      <c r="B11" s="13" t="s">
        <v>7</v>
      </c>
      <c r="C11" s="230">
        <v>1</v>
      </c>
    </row>
    <row r="12" spans="1:9" ht="15.65" customHeight="1">
      <c r="B12" s="14" t="s">
        <v>52</v>
      </c>
      <c r="C12" s="231" t="s">
        <v>53</v>
      </c>
    </row>
    <row r="13" spans="1:9" ht="15" customHeight="1"/>
    <row r="14" spans="1:9" ht="15" customHeight="1">
      <c r="B14" s="394" t="s">
        <v>54</v>
      </c>
      <c r="C14" s="395"/>
      <c r="D14" s="395"/>
      <c r="F14" s="379" t="s">
        <v>55</v>
      </c>
      <c r="G14" s="380"/>
      <c r="H14" s="380"/>
    </row>
    <row r="15" spans="1:9" ht="15" customHeight="1"/>
    <row r="16" spans="1:9" ht="15" customHeight="1">
      <c r="B16" s="10" t="s">
        <v>56</v>
      </c>
      <c r="C16" s="9"/>
      <c r="D16" s="12" t="s">
        <v>11</v>
      </c>
      <c r="F16" s="32" t="s">
        <v>57</v>
      </c>
      <c r="G16" s="37" t="s">
        <v>11</v>
      </c>
      <c r="H16" s="16" t="s">
        <v>34</v>
      </c>
    </row>
    <row r="17" spans="2:8" ht="15" customHeight="1">
      <c r="B17" s="15" t="s">
        <v>58</v>
      </c>
      <c r="C17" s="228">
        <v>0</v>
      </c>
      <c r="D17" s="235" t="s">
        <v>210</v>
      </c>
      <c r="F17" s="396" t="s">
        <v>36</v>
      </c>
      <c r="G17" s="384" t="s">
        <v>59</v>
      </c>
      <c r="H17" s="387" t="s">
        <v>197</v>
      </c>
    </row>
    <row r="18" spans="2:8" ht="15" customHeight="1">
      <c r="B18" s="13" t="s">
        <v>133</v>
      </c>
      <c r="C18" s="234">
        <f>VLOOKUP($C$17,'Hulpblad - Uitgangspunten'!$B$38:$C$3210,2,FALSE)</f>
        <v>241.44</v>
      </c>
      <c r="D18" s="137"/>
      <c r="F18" s="397"/>
      <c r="G18" s="385"/>
      <c r="H18" s="388"/>
    </row>
    <row r="19" spans="2:8" ht="15" customHeight="1">
      <c r="B19" s="13" t="s">
        <v>61</v>
      </c>
      <c r="C19" s="140" t="str" cm="1">
        <f t="array" ref="C19">(_xlfn.IFS(C17&lt;'Hulpblad - Uitgangspunten'!D11,"Laagsegment",AND(C17&gt;='Hulpblad - Uitgangspunten'!D11,C17&lt;='Hulpblad - Uitgangspunten'!D12),"Middensegment",C17&gt;'Hulpblad - Uitgangspunten'!D12,"Geliberaliseerd"))</f>
        <v>Laagsegment</v>
      </c>
      <c r="D19" s="139"/>
      <c r="F19" s="398"/>
      <c r="G19" s="386"/>
      <c r="H19" s="389"/>
    </row>
    <row r="20" spans="2:8" ht="15" customHeight="1">
      <c r="B20" s="13" t="s">
        <v>62</v>
      </c>
      <c r="C20" s="225" t="s">
        <v>63</v>
      </c>
      <c r="D20" s="236" t="s">
        <v>210</v>
      </c>
      <c r="F20" s="396" t="s">
        <v>37</v>
      </c>
      <c r="G20" s="384" t="s">
        <v>59</v>
      </c>
      <c r="H20" s="387" t="s">
        <v>60</v>
      </c>
    </row>
    <row r="21" spans="2:8" ht="15" customHeight="1">
      <c r="B21" s="13" t="s">
        <v>64</v>
      </c>
      <c r="C21" s="226">
        <v>0</v>
      </c>
      <c r="D21" s="237" t="s">
        <v>210</v>
      </c>
      <c r="F21" s="397"/>
      <c r="G21" s="385"/>
      <c r="H21" s="388"/>
    </row>
    <row r="22" spans="2:8" ht="15" customHeight="1">
      <c r="B22" s="13" t="s">
        <v>65</v>
      </c>
      <c r="C22" s="227">
        <v>0</v>
      </c>
      <c r="D22" s="237" t="s">
        <v>210</v>
      </c>
      <c r="F22" s="398"/>
      <c r="G22" s="386"/>
      <c r="H22" s="389"/>
    </row>
    <row r="23" spans="2:8" ht="15" customHeight="1">
      <c r="B23" s="13" t="s">
        <v>66</v>
      </c>
      <c r="C23" s="227">
        <v>0</v>
      </c>
      <c r="D23" s="55" t="s">
        <v>67</v>
      </c>
      <c r="F23" s="396" t="s">
        <v>38</v>
      </c>
      <c r="G23" s="384" t="s">
        <v>59</v>
      </c>
      <c r="H23" s="387" t="s">
        <v>60</v>
      </c>
    </row>
    <row r="24" spans="2:8" ht="15" customHeight="1">
      <c r="B24" s="14" t="s">
        <v>68</v>
      </c>
      <c r="C24" s="84">
        <f>AVERAGE('Woco - Reeks onderhoud'!D8:BL8)</f>
        <v>0</v>
      </c>
      <c r="D24" s="120" t="s">
        <v>211</v>
      </c>
      <c r="F24" s="397"/>
      <c r="G24" s="385"/>
      <c r="H24" s="388"/>
    </row>
    <row r="25" spans="2:8" ht="15" customHeight="1">
      <c r="F25" s="398"/>
      <c r="G25" s="386"/>
      <c r="H25" s="389"/>
    </row>
    <row r="26" spans="2:8" ht="15" customHeight="1">
      <c r="B26" s="10" t="s">
        <v>69</v>
      </c>
      <c r="C26" s="11"/>
      <c r="D26" s="12" t="s">
        <v>11</v>
      </c>
      <c r="F26" s="396" t="s">
        <v>39</v>
      </c>
      <c r="G26" s="384" t="s">
        <v>59</v>
      </c>
      <c r="H26" s="387" t="s">
        <v>60</v>
      </c>
    </row>
    <row r="27" spans="2:8" ht="15" customHeight="1">
      <c r="B27" s="81" t="s">
        <v>70</v>
      </c>
      <c r="C27" s="223">
        <v>0</v>
      </c>
      <c r="D27" s="224" t="s">
        <v>210</v>
      </c>
      <c r="F27" s="397"/>
      <c r="G27" s="385"/>
      <c r="H27" s="388"/>
    </row>
    <row r="28" spans="2:8" ht="15" customHeight="1">
      <c r="F28" s="398"/>
      <c r="G28" s="386"/>
      <c r="H28" s="389"/>
    </row>
    <row r="29" spans="2:8" ht="15" customHeight="1">
      <c r="B29" s="10" t="s">
        <v>71</v>
      </c>
      <c r="C29" s="11"/>
      <c r="D29" s="12" t="s">
        <v>11</v>
      </c>
      <c r="E29" s="3"/>
      <c r="F29" s="396" t="s">
        <v>40</v>
      </c>
      <c r="G29" s="384" t="s">
        <v>59</v>
      </c>
      <c r="H29" s="387" t="s">
        <v>60</v>
      </c>
    </row>
    <row r="30" spans="2:8" ht="15" customHeight="1">
      <c r="B30" s="20" t="s">
        <v>72</v>
      </c>
      <c r="C30" s="221">
        <v>0</v>
      </c>
      <c r="D30" s="222" t="s">
        <v>210</v>
      </c>
      <c r="F30" s="397"/>
      <c r="G30" s="385"/>
      <c r="H30" s="388"/>
    </row>
    <row r="31" spans="2:8" ht="15" customHeight="1">
      <c r="F31" s="398"/>
      <c r="G31" s="386"/>
      <c r="H31" s="389"/>
    </row>
    <row r="32" spans="2:8" ht="15" customHeight="1">
      <c r="B32" s="9" t="s">
        <v>73</v>
      </c>
      <c r="C32" s="9"/>
      <c r="D32" s="16" t="s">
        <v>11</v>
      </c>
    </row>
    <row r="33" spans="2:8" ht="15" customHeight="1">
      <c r="B33" s="82" t="s">
        <v>14</v>
      </c>
      <c r="C33" s="218">
        <v>0</v>
      </c>
      <c r="D33" s="214" t="s">
        <v>210</v>
      </c>
      <c r="F33" s="114" t="s">
        <v>42</v>
      </c>
      <c r="G33" s="37" t="s">
        <v>11</v>
      </c>
      <c r="H33" s="16" t="s">
        <v>34</v>
      </c>
    </row>
    <row r="34" spans="2:8" ht="15" customHeight="1">
      <c r="B34" s="13" t="s">
        <v>13</v>
      </c>
      <c r="C34" s="219">
        <v>0</v>
      </c>
      <c r="D34" s="215" t="s">
        <v>210</v>
      </c>
      <c r="F34" s="390" t="s">
        <v>43</v>
      </c>
      <c r="G34" s="384" t="s">
        <v>59</v>
      </c>
      <c r="H34" s="387" t="s">
        <v>60</v>
      </c>
    </row>
    <row r="35" spans="2:8" ht="15" customHeight="1">
      <c r="B35" s="193" t="str">
        <f>"Interne kosten "&amp;C6</f>
        <v>Interne kosten Corporatie A</v>
      </c>
      <c r="C35" s="220">
        <v>0</v>
      </c>
      <c r="D35" s="216" t="s">
        <v>210</v>
      </c>
      <c r="E35" s="3"/>
      <c r="F35" s="391"/>
      <c r="G35" s="385"/>
      <c r="H35" s="388"/>
    </row>
    <row r="36" spans="2:8" ht="15" customHeight="1">
      <c r="B36" s="18" t="s">
        <v>74</v>
      </c>
      <c r="C36" s="48">
        <f>SUM(C33:C35)</f>
        <v>0</v>
      </c>
      <c r="D36" s="217" t="s">
        <v>210</v>
      </c>
      <c r="F36" s="392"/>
      <c r="G36" s="386"/>
      <c r="H36" s="389"/>
    </row>
    <row r="37" spans="2:8" ht="15" customHeight="1">
      <c r="F37" s="396" t="s">
        <v>44</v>
      </c>
      <c r="G37" s="384" t="s">
        <v>59</v>
      </c>
      <c r="H37" s="387" t="s">
        <v>60</v>
      </c>
    </row>
    <row r="38" spans="2:8" ht="15" customHeight="1">
      <c r="B38" s="57" t="s">
        <v>75</v>
      </c>
      <c r="C38" s="58"/>
      <c r="D38" s="58"/>
      <c r="F38" s="397"/>
      <c r="G38" s="385"/>
      <c r="H38" s="388"/>
    </row>
    <row r="39" spans="2:8" ht="15" customHeight="1">
      <c r="F39" s="398"/>
      <c r="G39" s="386"/>
      <c r="H39" s="389"/>
    </row>
    <row r="40" spans="2:8" ht="15" customHeight="1">
      <c r="B40" s="10" t="s">
        <v>76</v>
      </c>
      <c r="C40" s="11"/>
      <c r="D40" s="12"/>
    </row>
    <row r="41" spans="2:8" ht="15" customHeight="1">
      <c r="B41" s="19" t="s">
        <v>77</v>
      </c>
      <c r="C41" s="105">
        <f>C36</f>
        <v>0</v>
      </c>
      <c r="D41" s="208" t="s">
        <v>210</v>
      </c>
      <c r="F41" s="32" t="s">
        <v>45</v>
      </c>
      <c r="G41" s="37" t="s">
        <v>11</v>
      </c>
      <c r="H41" s="16" t="s">
        <v>34</v>
      </c>
    </row>
    <row r="42" spans="2:8" ht="15" customHeight="1">
      <c r="B42" s="17" t="s">
        <v>78</v>
      </c>
      <c r="C42" s="112">
        <f>C27*C11</f>
        <v>0</v>
      </c>
      <c r="D42" s="209" t="s">
        <v>210</v>
      </c>
      <c r="F42" s="390" t="s">
        <v>46</v>
      </c>
      <c r="G42" s="384" t="s">
        <v>59</v>
      </c>
      <c r="H42" s="387" t="s">
        <v>60</v>
      </c>
    </row>
    <row r="43" spans="2:8" ht="15" customHeight="1">
      <c r="B43" s="18" t="s">
        <v>79</v>
      </c>
      <c r="C43" s="113" t="str">
        <f>IFERROR(C41/C42,"")</f>
        <v/>
      </c>
      <c r="D43" s="210" t="s">
        <v>210</v>
      </c>
      <c r="F43" s="391"/>
      <c r="G43" s="385"/>
      <c r="H43" s="388"/>
    </row>
    <row r="44" spans="2:8" ht="15" customHeight="1">
      <c r="F44" s="392"/>
      <c r="G44" s="386"/>
      <c r="H44" s="389"/>
    </row>
    <row r="45" spans="2:8" ht="15" customHeight="1">
      <c r="B45" s="10" t="s">
        <v>20</v>
      </c>
      <c r="C45" s="11"/>
      <c r="D45" s="12" t="s">
        <v>207</v>
      </c>
      <c r="F45" s="390" t="s">
        <v>47</v>
      </c>
      <c r="G45" s="384" t="s">
        <v>59</v>
      </c>
      <c r="H45" s="387" t="s">
        <v>60</v>
      </c>
    </row>
    <row r="46" spans="2:8" ht="15" customHeight="1">
      <c r="B46" s="19" t="s">
        <v>77</v>
      </c>
      <c r="C46" s="105">
        <f>C36</f>
        <v>0</v>
      </c>
      <c r="D46" s="208" t="s">
        <v>210</v>
      </c>
      <c r="F46" s="391"/>
      <c r="G46" s="385"/>
      <c r="H46" s="388"/>
    </row>
    <row r="47" spans="2:8" ht="15" customHeight="1">
      <c r="B47" s="17" t="s">
        <v>72</v>
      </c>
      <c r="C47" s="112">
        <f>'Hulpblad - Berekeningen'!D46</f>
        <v>0</v>
      </c>
      <c r="D47" s="209" t="s">
        <v>210</v>
      </c>
      <c r="F47" s="392"/>
      <c r="G47" s="386"/>
      <c r="H47" s="389"/>
    </row>
    <row r="48" spans="2:8" ht="15" customHeight="1">
      <c r="B48" s="194" t="s">
        <v>209</v>
      </c>
      <c r="C48" s="56">
        <f>C46-C47</f>
        <v>0</v>
      </c>
      <c r="D48" s="209" t="s">
        <v>210</v>
      </c>
      <c r="F48" s="390" t="s">
        <v>48</v>
      </c>
      <c r="G48" s="384" t="s">
        <v>59</v>
      </c>
      <c r="H48" s="387" t="s">
        <v>60</v>
      </c>
    </row>
    <row r="49" spans="2:8" ht="15" customHeight="1">
      <c r="B49" s="194" t="s">
        <v>218</v>
      </c>
      <c r="C49" s="56">
        <f>(C47-C48)/C11</f>
        <v>0</v>
      </c>
      <c r="D49" s="209" t="s">
        <v>210</v>
      </c>
      <c r="F49" s="391"/>
      <c r="G49" s="385"/>
      <c r="H49" s="388"/>
    </row>
    <row r="50" spans="2:8" ht="15" customHeight="1">
      <c r="B50" s="194" t="s">
        <v>22</v>
      </c>
      <c r="C50" s="196">
        <f>IFERROR(C48/C46,0)</f>
        <v>0</v>
      </c>
      <c r="D50" s="209" t="s">
        <v>210</v>
      </c>
      <c r="F50" s="392"/>
      <c r="G50" s="386"/>
      <c r="H50" s="389"/>
    </row>
    <row r="51" spans="2:8" ht="15" customHeight="1">
      <c r="B51" s="17" t="s">
        <v>80</v>
      </c>
      <c r="C51" s="47">
        <f>'Hulpblad - Berekeningen'!D45</f>
        <v>0</v>
      </c>
      <c r="D51" s="209" t="s">
        <v>210</v>
      </c>
    </row>
    <row r="52" spans="2:8" ht="15" customHeight="1">
      <c r="B52" s="194" t="s">
        <v>208</v>
      </c>
      <c r="C52" s="56">
        <f>C46-C51</f>
        <v>0</v>
      </c>
      <c r="D52" s="209" t="s">
        <v>210</v>
      </c>
    </row>
    <row r="53" spans="2:8" ht="15" customHeight="1">
      <c r="B53" s="194" t="s">
        <v>219</v>
      </c>
      <c r="C53" s="56">
        <f>(C47-C52)/C11</f>
        <v>0</v>
      </c>
      <c r="D53" s="209" t="s">
        <v>210</v>
      </c>
    </row>
    <row r="54" spans="2:8" ht="15" customHeight="1">
      <c r="B54" s="195" t="s">
        <v>24</v>
      </c>
      <c r="C54" s="197">
        <f>IFERROR(C52/C46,0)</f>
        <v>0</v>
      </c>
      <c r="D54" s="210" t="s">
        <v>210</v>
      </c>
    </row>
    <row r="55" spans="2:8" ht="15" customHeight="1"/>
    <row r="56" spans="2:8" ht="15" customHeight="1">
      <c r="B56" s="10" t="s">
        <v>26</v>
      </c>
      <c r="C56" s="11"/>
      <c r="D56" s="12"/>
    </row>
    <row r="57" spans="2:8" ht="15" customHeight="1">
      <c r="B57" s="19" t="s">
        <v>27</v>
      </c>
      <c r="C57" s="146" t="str">
        <f>IFERROR('Hulpblad - Berekeningen'!D53,"")</f>
        <v/>
      </c>
      <c r="D57" s="211" t="s">
        <v>210</v>
      </c>
    </row>
    <row r="58" spans="2:8" ht="15" customHeight="1">
      <c r="B58" s="26" t="s">
        <v>28</v>
      </c>
      <c r="C58" s="147" t="str">
        <f>IFERROR('Hulpblad - Berekeningen'!D56,"")</f>
        <v/>
      </c>
      <c r="D58" s="212" t="s">
        <v>210</v>
      </c>
    </row>
    <row r="59" spans="2:8" ht="15" customHeight="1">
      <c r="B59" s="134" t="s">
        <v>30</v>
      </c>
      <c r="C59" s="113" t="str">
        <f>IFERROR('Hulpblad - Berekeningen'!D59,"")</f>
        <v/>
      </c>
      <c r="D59" s="213" t="s">
        <v>210</v>
      </c>
    </row>
    <row r="60" spans="2:8" ht="15" customHeight="1"/>
    <row r="61" spans="2:8" ht="15" customHeight="1"/>
  </sheetData>
  <sheetProtection sheet="1" objects="1" scenarios="1"/>
  <mergeCells count="33">
    <mergeCell ref="D2:E2"/>
    <mergeCell ref="B14:D14"/>
    <mergeCell ref="F14:H14"/>
    <mergeCell ref="F37:F39"/>
    <mergeCell ref="G34:G36"/>
    <mergeCell ref="H26:H28"/>
    <mergeCell ref="H29:H31"/>
    <mergeCell ref="F34:F36"/>
    <mergeCell ref="H34:H36"/>
    <mergeCell ref="F17:F19"/>
    <mergeCell ref="G17:G19"/>
    <mergeCell ref="G20:G22"/>
    <mergeCell ref="F20:F22"/>
    <mergeCell ref="F23:F25"/>
    <mergeCell ref="F26:F28"/>
    <mergeCell ref="F29:F31"/>
    <mergeCell ref="F42:F44"/>
    <mergeCell ref="F45:F47"/>
    <mergeCell ref="F48:F50"/>
    <mergeCell ref="G42:G44"/>
    <mergeCell ref="G45:G47"/>
    <mergeCell ref="G48:G50"/>
    <mergeCell ref="H45:H47"/>
    <mergeCell ref="H48:H50"/>
    <mergeCell ref="H37:H39"/>
    <mergeCell ref="G37:G39"/>
    <mergeCell ref="H42:H44"/>
    <mergeCell ref="G23:G25"/>
    <mergeCell ref="G26:G28"/>
    <mergeCell ref="G29:G31"/>
    <mergeCell ref="H17:H19"/>
    <mergeCell ref="H20:H22"/>
    <mergeCell ref="H23:H25"/>
  </mergeCells>
  <conditionalFormatting sqref="B27">
    <cfRule type="expression" dxfId="10" priority="32">
      <formula>#REF!="Bekend"</formula>
    </cfRule>
  </conditionalFormatting>
  <conditionalFormatting sqref="B24:D24">
    <cfRule type="expression" dxfId="9" priority="35">
      <formula>IF(#REF!="Volledige MJOP",TRUE,FALSE)</formula>
    </cfRule>
  </conditionalFormatting>
  <conditionalFormatting sqref="C48:C49 C52:C53">
    <cfRule type="cellIs" dxfId="8" priority="9" operator="lessThan">
      <formula>0</formula>
    </cfRule>
    <cfRule type="cellIs" dxfId="7" priority="10" operator="greaterThan">
      <formula>0</formula>
    </cfRule>
    <cfRule type="cellIs" dxfId="6" priority="11" operator="lessThan">
      <formula>0</formula>
    </cfRule>
    <cfRule type="cellIs" dxfId="5" priority="12" operator="greaterThan">
      <formula>0</formula>
    </cfRule>
  </conditionalFormatting>
  <dataValidations xWindow="116" yWindow="507" count="5">
    <dataValidation allowBlank="1" showInputMessage="1" showErrorMessage="1" prompt="(interne kosten, bijkomende kosten)" sqref="B35" xr:uid="{A87CB053-CABC-4F31-91B9-8AEECEE331C1}"/>
    <dataValidation allowBlank="1" showInputMessage="1" showErrorMessage="1" prompt="IRR 15 jaar met eindwaarde op basis van beleidswaarde" sqref="B58" xr:uid="{248041A6-A02A-432F-BDF2-B4F4618F5F11}"/>
    <dataValidation allowBlank="1" showInputMessage="1" showErrorMessage="1" prompt="IRR 60 jaar, geen eindwaarde" sqref="B57:B58" xr:uid="{263FA0D9-A19F-4456-854D-84D134710A5E}"/>
    <dataValidation allowBlank="1" showInputMessage="1" showErrorMessage="1" promptTitle="Inbrengwaarde" prompt="De waarde van eventuele in te brengen grond of vastgoed. Deze landt zowel in de berekening van de rendementskengetallen als in de berekening van het vermogenseffect. Niet in de berekening van de beleidswaarde zelf." sqref="B33" xr:uid="{B143334D-FD59-4B0C-99E0-E9C4B729E792}"/>
    <dataValidation allowBlank="1" showInputMessage="1" showErrorMessage="1" prompt="IRR 15 jaar met eindwaarde op basis van marktwaarde" sqref="B59" xr:uid="{BD006194-5C83-4BEB-AFF3-FACB91BBA848}"/>
  </dataValidations>
  <hyperlinks>
    <hyperlink ref="D23" r:id="rId1" xr:uid="{BE1BABFB-185C-4961-BE28-EBD42BF64E11}"/>
  </hyperlinks>
  <pageMargins left="0.7" right="0.7" top="0.75" bottom="0.75" header="0.3" footer="0.3"/>
  <pageSetup paperSize="9" scale="48" orientation="portrait" r:id="rId2"/>
  <drawing r:id="rId3"/>
  <extLst>
    <ext xmlns:x14="http://schemas.microsoft.com/office/spreadsheetml/2009/9/main" uri="{CCE6A557-97BC-4b89-ADB6-D9C93CAAB3DF}">
      <x14:dataValidations xmlns:xm="http://schemas.microsoft.com/office/excel/2006/main" xWindow="116" yWindow="507" count="2">
        <x14:dataValidation type="list" allowBlank="1" showInputMessage="1" showErrorMessage="1" promptTitle="Kies de prioriteit van het thema" prompt="Kies de prioriteit van het thema" xr:uid="{2D280EC9-4025-4F4B-96EA-E10270E81517}">
          <x14:formula1>
            <xm:f>'Hulpblad - Gegevensvalidatie'!$B$12:$B$17</xm:f>
          </x14:formula1>
          <xm:sqref>H17 H37 H23 H26 H29 H34 H20 H42 H45 H48</xm:sqref>
        </x14:dataValidation>
        <x14:dataValidation type="list" allowBlank="1" showInputMessage="1" showErrorMessage="1" xr:uid="{0292997C-EEFF-4B79-A88D-A3FE84AF788D}">
          <x14:formula1>
            <xm:f>'Hulpblad - Gegevensvalidatie'!$B$20:$B$21</xm:f>
          </x14:formula1>
          <xm:sqref>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04FD8-65C8-433C-8F81-A853E76B5AD5}">
  <sheetPr>
    <tabColor rgb="FF0099DA"/>
    <pageSetUpPr fitToPage="1"/>
  </sheetPr>
  <dimension ref="A1:BM13"/>
  <sheetViews>
    <sheetView showGridLines="0" zoomScale="90" zoomScaleNormal="90" workbookViewId="0">
      <pane ySplit="3" topLeftCell="A4" activePane="bottomLeft" state="frozen"/>
      <selection activeCell="A4" sqref="A4"/>
      <selection pane="bottomLeft" activeCell="A4" sqref="A4"/>
    </sheetView>
  </sheetViews>
  <sheetFormatPr defaultColWidth="0" defaultRowHeight="14.5" customHeight="1" zeroHeight="1"/>
  <cols>
    <col min="1" max="1" width="2.81640625" customWidth="1"/>
    <col min="2" max="2" width="21.453125" customWidth="1"/>
    <col min="3" max="3" width="30.81640625" customWidth="1"/>
    <col min="4" max="64" width="13.81640625" customWidth="1"/>
    <col min="65" max="65" width="2.7265625" customWidth="1"/>
    <col min="66" max="16384" width="9.1796875" hidden="1"/>
  </cols>
  <sheetData>
    <row r="1" spans="1:65" ht="15"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row>
    <row r="2" spans="1:65" ht="33"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row>
    <row r="3" spans="1:65" ht="15"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row>
    <row r="4" spans="1:65" ht="15" customHeight="1"/>
    <row r="5" spans="1:65" ht="15" customHeight="1">
      <c r="B5" s="116" t="s">
        <v>81</v>
      </c>
      <c r="C5" s="79"/>
      <c r="D5" s="79">
        <v>0</v>
      </c>
      <c r="E5" s="79">
        <v>1</v>
      </c>
      <c r="F5" s="79">
        <v>2</v>
      </c>
      <c r="G5" s="79">
        <v>3</v>
      </c>
      <c r="H5" s="79">
        <v>4</v>
      </c>
      <c r="I5" s="79">
        <v>5</v>
      </c>
      <c r="J5" s="79">
        <v>6</v>
      </c>
      <c r="K5" s="79">
        <v>7</v>
      </c>
      <c r="L5" s="79">
        <v>8</v>
      </c>
      <c r="M5" s="79">
        <v>9</v>
      </c>
      <c r="N5" s="79">
        <v>10</v>
      </c>
      <c r="O5" s="79">
        <v>11</v>
      </c>
      <c r="P5" s="79">
        <v>12</v>
      </c>
      <c r="Q5" s="79">
        <v>13</v>
      </c>
      <c r="R5" s="79">
        <v>14</v>
      </c>
      <c r="S5" s="79">
        <v>15</v>
      </c>
      <c r="T5" s="79">
        <v>16</v>
      </c>
      <c r="U5" s="79">
        <v>17</v>
      </c>
      <c r="V5" s="79">
        <v>18</v>
      </c>
      <c r="W5" s="79">
        <v>19</v>
      </c>
      <c r="X5" s="79">
        <v>20</v>
      </c>
      <c r="Y5" s="79">
        <v>21</v>
      </c>
      <c r="Z5" s="79">
        <v>22</v>
      </c>
      <c r="AA5" s="79">
        <v>23</v>
      </c>
      <c r="AB5" s="79">
        <v>24</v>
      </c>
      <c r="AC5" s="79">
        <v>25</v>
      </c>
      <c r="AD5" s="79">
        <v>26</v>
      </c>
      <c r="AE5" s="79">
        <v>27</v>
      </c>
      <c r="AF5" s="79">
        <v>28</v>
      </c>
      <c r="AG5" s="79">
        <v>29</v>
      </c>
      <c r="AH5" s="79">
        <v>30</v>
      </c>
      <c r="AI5" s="79">
        <v>31</v>
      </c>
      <c r="AJ5" s="79">
        <v>32</v>
      </c>
      <c r="AK5" s="79">
        <v>33</v>
      </c>
      <c r="AL5" s="79">
        <v>34</v>
      </c>
      <c r="AM5" s="79">
        <v>35</v>
      </c>
      <c r="AN5" s="79">
        <v>36</v>
      </c>
      <c r="AO5" s="79">
        <v>37</v>
      </c>
      <c r="AP5" s="79">
        <v>38</v>
      </c>
      <c r="AQ5" s="79">
        <v>39</v>
      </c>
      <c r="AR5" s="79">
        <v>40</v>
      </c>
      <c r="AS5" s="79">
        <v>41</v>
      </c>
      <c r="AT5" s="79">
        <v>42</v>
      </c>
      <c r="AU5" s="79">
        <v>43</v>
      </c>
      <c r="AV5" s="79">
        <v>44</v>
      </c>
      <c r="AW5" s="79">
        <v>45</v>
      </c>
      <c r="AX5" s="79">
        <v>46</v>
      </c>
      <c r="AY5" s="79">
        <v>47</v>
      </c>
      <c r="AZ5" s="79">
        <v>48</v>
      </c>
      <c r="BA5" s="79">
        <v>49</v>
      </c>
      <c r="BB5" s="79">
        <v>50</v>
      </c>
      <c r="BC5" s="79">
        <v>51</v>
      </c>
      <c r="BD5" s="79">
        <v>52</v>
      </c>
      <c r="BE5" s="79">
        <v>53</v>
      </c>
      <c r="BF5" s="79">
        <v>54</v>
      </c>
      <c r="BG5" s="79">
        <v>55</v>
      </c>
      <c r="BH5" s="79">
        <v>56</v>
      </c>
      <c r="BI5" s="79">
        <v>57</v>
      </c>
      <c r="BJ5" s="79">
        <v>58</v>
      </c>
      <c r="BK5" s="79">
        <v>59</v>
      </c>
      <c r="BL5" s="117">
        <v>60</v>
      </c>
    </row>
    <row r="6" spans="1:65" ht="15" customHeight="1">
      <c r="B6" s="3"/>
      <c r="C6" s="3"/>
      <c r="D6" s="3"/>
      <c r="BL6" s="118"/>
    </row>
    <row r="7" spans="1:65" ht="15" customHeight="1">
      <c r="B7" s="121" t="s">
        <v>82</v>
      </c>
      <c r="C7" s="122"/>
      <c r="D7" s="122">
        <f ca="1">E7-1</f>
        <v>2024</v>
      </c>
      <c r="E7" s="123">
        <f ca="1">YEAR(TODAY())</f>
        <v>2025</v>
      </c>
      <c r="F7" s="123">
        <f t="shared" ref="F7" ca="1" si="0">E7+1</f>
        <v>2026</v>
      </c>
      <c r="G7" s="123">
        <f t="shared" ref="G7" ca="1" si="1">F7+1</f>
        <v>2027</v>
      </c>
      <c r="H7" s="123">
        <f t="shared" ref="H7" ca="1" si="2">G7+1</f>
        <v>2028</v>
      </c>
      <c r="I7" s="123">
        <f t="shared" ref="I7" ca="1" si="3">H7+1</f>
        <v>2029</v>
      </c>
      <c r="J7" s="123">
        <f t="shared" ref="J7" ca="1" si="4">I7+1</f>
        <v>2030</v>
      </c>
      <c r="K7" s="123">
        <f t="shared" ref="K7" ca="1" si="5">J7+1</f>
        <v>2031</v>
      </c>
      <c r="L7" s="123">
        <f t="shared" ref="L7" ca="1" si="6">K7+1</f>
        <v>2032</v>
      </c>
      <c r="M7" s="123">
        <f t="shared" ref="M7" ca="1" si="7">L7+1</f>
        <v>2033</v>
      </c>
      <c r="N7" s="123">
        <f t="shared" ref="N7" ca="1" si="8">M7+1</f>
        <v>2034</v>
      </c>
      <c r="O7" s="123">
        <f t="shared" ref="O7" ca="1" si="9">N7+1</f>
        <v>2035</v>
      </c>
      <c r="P7" s="123">
        <f t="shared" ref="P7" ca="1" si="10">O7+1</f>
        <v>2036</v>
      </c>
      <c r="Q7" s="123">
        <f t="shared" ref="Q7" ca="1" si="11">P7+1</f>
        <v>2037</v>
      </c>
      <c r="R7" s="123">
        <f t="shared" ref="R7" ca="1" si="12">Q7+1</f>
        <v>2038</v>
      </c>
      <c r="S7" s="123">
        <f t="shared" ref="S7" ca="1" si="13">R7+1</f>
        <v>2039</v>
      </c>
      <c r="T7" s="123">
        <f t="shared" ref="T7" ca="1" si="14">S7+1</f>
        <v>2040</v>
      </c>
      <c r="U7" s="123">
        <f t="shared" ref="U7" ca="1" si="15">T7+1</f>
        <v>2041</v>
      </c>
      <c r="V7" s="123">
        <f t="shared" ref="V7" ca="1" si="16">U7+1</f>
        <v>2042</v>
      </c>
      <c r="W7" s="123">
        <f t="shared" ref="W7" ca="1" si="17">V7+1</f>
        <v>2043</v>
      </c>
      <c r="X7" s="123">
        <f t="shared" ref="X7" ca="1" si="18">W7+1</f>
        <v>2044</v>
      </c>
      <c r="Y7" s="123">
        <f t="shared" ref="Y7" ca="1" si="19">X7+1</f>
        <v>2045</v>
      </c>
      <c r="Z7" s="123">
        <f t="shared" ref="Z7" ca="1" si="20">Y7+1</f>
        <v>2046</v>
      </c>
      <c r="AA7" s="123">
        <f t="shared" ref="AA7" ca="1" si="21">Z7+1</f>
        <v>2047</v>
      </c>
      <c r="AB7" s="123">
        <f t="shared" ref="AB7" ca="1" si="22">AA7+1</f>
        <v>2048</v>
      </c>
      <c r="AC7" s="123">
        <f t="shared" ref="AC7" ca="1" si="23">AB7+1</f>
        <v>2049</v>
      </c>
      <c r="AD7" s="123">
        <f t="shared" ref="AD7" ca="1" si="24">AC7+1</f>
        <v>2050</v>
      </c>
      <c r="AE7" s="123">
        <f t="shared" ref="AE7" ca="1" si="25">AD7+1</f>
        <v>2051</v>
      </c>
      <c r="AF7" s="123">
        <f t="shared" ref="AF7" ca="1" si="26">AE7+1</f>
        <v>2052</v>
      </c>
      <c r="AG7" s="123">
        <f t="shared" ref="AG7" ca="1" si="27">AF7+1</f>
        <v>2053</v>
      </c>
      <c r="AH7" s="123">
        <f t="shared" ref="AH7" ca="1" si="28">AG7+1</f>
        <v>2054</v>
      </c>
      <c r="AI7" s="123">
        <f t="shared" ref="AI7" ca="1" si="29">AH7+1</f>
        <v>2055</v>
      </c>
      <c r="AJ7" s="123">
        <f t="shared" ref="AJ7" ca="1" si="30">AI7+1</f>
        <v>2056</v>
      </c>
      <c r="AK7" s="123">
        <f t="shared" ref="AK7" ca="1" si="31">AJ7+1</f>
        <v>2057</v>
      </c>
      <c r="AL7" s="123">
        <f t="shared" ref="AL7" ca="1" si="32">AK7+1</f>
        <v>2058</v>
      </c>
      <c r="AM7" s="123">
        <f t="shared" ref="AM7" ca="1" si="33">AL7+1</f>
        <v>2059</v>
      </c>
      <c r="AN7" s="123">
        <f t="shared" ref="AN7" ca="1" si="34">AM7+1</f>
        <v>2060</v>
      </c>
      <c r="AO7" s="123">
        <f t="shared" ref="AO7" ca="1" si="35">AN7+1</f>
        <v>2061</v>
      </c>
      <c r="AP7" s="123">
        <f t="shared" ref="AP7" ca="1" si="36">AO7+1</f>
        <v>2062</v>
      </c>
      <c r="AQ7" s="123">
        <f t="shared" ref="AQ7" ca="1" si="37">AP7+1</f>
        <v>2063</v>
      </c>
      <c r="AR7" s="123">
        <f t="shared" ref="AR7" ca="1" si="38">AQ7+1</f>
        <v>2064</v>
      </c>
      <c r="AS7" s="123">
        <f t="shared" ref="AS7" ca="1" si="39">AR7+1</f>
        <v>2065</v>
      </c>
      <c r="AT7" s="123">
        <f t="shared" ref="AT7" ca="1" si="40">AS7+1</f>
        <v>2066</v>
      </c>
      <c r="AU7" s="123">
        <f t="shared" ref="AU7" ca="1" si="41">AT7+1</f>
        <v>2067</v>
      </c>
      <c r="AV7" s="123">
        <f t="shared" ref="AV7" ca="1" si="42">AU7+1</f>
        <v>2068</v>
      </c>
      <c r="AW7" s="123">
        <f t="shared" ref="AW7" ca="1" si="43">AV7+1</f>
        <v>2069</v>
      </c>
      <c r="AX7" s="123">
        <f t="shared" ref="AX7" ca="1" si="44">AW7+1</f>
        <v>2070</v>
      </c>
      <c r="AY7" s="123">
        <f t="shared" ref="AY7" ca="1" si="45">AX7+1</f>
        <v>2071</v>
      </c>
      <c r="AZ7" s="123">
        <f t="shared" ref="AZ7" ca="1" si="46">AY7+1</f>
        <v>2072</v>
      </c>
      <c r="BA7" s="123">
        <f t="shared" ref="BA7" ca="1" si="47">AZ7+1</f>
        <v>2073</v>
      </c>
      <c r="BB7" s="123">
        <f t="shared" ref="BB7" ca="1" si="48">BA7+1</f>
        <v>2074</v>
      </c>
      <c r="BC7" s="123">
        <f t="shared" ref="BC7" ca="1" si="49">BB7+1</f>
        <v>2075</v>
      </c>
      <c r="BD7" s="123">
        <f t="shared" ref="BD7" ca="1" si="50">BC7+1</f>
        <v>2076</v>
      </c>
      <c r="BE7" s="123">
        <f t="shared" ref="BE7" ca="1" si="51">BD7+1</f>
        <v>2077</v>
      </c>
      <c r="BF7" s="123">
        <f t="shared" ref="BF7" ca="1" si="52">BE7+1</f>
        <v>2078</v>
      </c>
      <c r="BG7" s="123">
        <f t="shared" ref="BG7" ca="1" si="53">BF7+1</f>
        <v>2079</v>
      </c>
      <c r="BH7" s="123">
        <f t="shared" ref="BH7" ca="1" si="54">BG7+1</f>
        <v>2080</v>
      </c>
      <c r="BI7" s="123">
        <f t="shared" ref="BI7" ca="1" si="55">BH7+1</f>
        <v>2081</v>
      </c>
      <c r="BJ7" s="123">
        <f t="shared" ref="BJ7" ca="1" si="56">BI7+1</f>
        <v>2082</v>
      </c>
      <c r="BK7" s="123">
        <f t="shared" ref="BK7" ca="1" si="57">BJ7+1</f>
        <v>2083</v>
      </c>
      <c r="BL7" s="72">
        <f t="shared" ref="BL7" ca="1" si="58">BK7+1</f>
        <v>2084</v>
      </c>
    </row>
    <row r="8" spans="1:65" ht="15" customHeight="1">
      <c r="B8" s="19" t="s">
        <v>83</v>
      </c>
      <c r="C8" s="124"/>
      <c r="D8" s="242">
        <v>0</v>
      </c>
      <c r="E8" s="242">
        <v>0</v>
      </c>
      <c r="F8" s="242">
        <v>0</v>
      </c>
      <c r="G8" s="242">
        <v>0</v>
      </c>
      <c r="H8" s="242">
        <v>0</v>
      </c>
      <c r="I8" s="242">
        <v>0</v>
      </c>
      <c r="J8" s="242">
        <v>0</v>
      </c>
      <c r="K8" s="242">
        <v>0</v>
      </c>
      <c r="L8" s="242">
        <v>0</v>
      </c>
      <c r="M8" s="242">
        <v>0</v>
      </c>
      <c r="N8" s="242">
        <v>0</v>
      </c>
      <c r="O8" s="242">
        <v>0</v>
      </c>
      <c r="P8" s="242">
        <v>0</v>
      </c>
      <c r="Q8" s="242">
        <v>0</v>
      </c>
      <c r="R8" s="242">
        <v>0</v>
      </c>
      <c r="S8" s="242">
        <v>0</v>
      </c>
      <c r="T8" s="242">
        <v>0</v>
      </c>
      <c r="U8" s="242">
        <v>0</v>
      </c>
      <c r="V8" s="242">
        <v>0</v>
      </c>
      <c r="W8" s="242">
        <v>0</v>
      </c>
      <c r="X8" s="242">
        <v>0</v>
      </c>
      <c r="Y8" s="242">
        <v>0</v>
      </c>
      <c r="Z8" s="242">
        <v>0</v>
      </c>
      <c r="AA8" s="242">
        <v>0</v>
      </c>
      <c r="AB8" s="242">
        <v>0</v>
      </c>
      <c r="AC8" s="242">
        <v>0</v>
      </c>
      <c r="AD8" s="242">
        <v>0</v>
      </c>
      <c r="AE8" s="242">
        <v>0</v>
      </c>
      <c r="AF8" s="242">
        <v>0</v>
      </c>
      <c r="AG8" s="242">
        <v>0</v>
      </c>
      <c r="AH8" s="242">
        <v>0</v>
      </c>
      <c r="AI8" s="242">
        <v>0</v>
      </c>
      <c r="AJ8" s="242">
        <v>0</v>
      </c>
      <c r="AK8" s="242">
        <v>0</v>
      </c>
      <c r="AL8" s="242">
        <v>0</v>
      </c>
      <c r="AM8" s="242">
        <v>0</v>
      </c>
      <c r="AN8" s="242">
        <v>0</v>
      </c>
      <c r="AO8" s="242">
        <v>0</v>
      </c>
      <c r="AP8" s="242">
        <v>0</v>
      </c>
      <c r="AQ8" s="242">
        <v>0</v>
      </c>
      <c r="AR8" s="242">
        <v>0</v>
      </c>
      <c r="AS8" s="242">
        <v>0</v>
      </c>
      <c r="AT8" s="242">
        <v>0</v>
      </c>
      <c r="AU8" s="242">
        <v>0</v>
      </c>
      <c r="AV8" s="242">
        <v>0</v>
      </c>
      <c r="AW8" s="242">
        <v>0</v>
      </c>
      <c r="AX8" s="242">
        <v>0</v>
      </c>
      <c r="AY8" s="242">
        <v>0</v>
      </c>
      <c r="AZ8" s="242">
        <v>0</v>
      </c>
      <c r="BA8" s="242">
        <v>0</v>
      </c>
      <c r="BB8" s="242">
        <v>0</v>
      </c>
      <c r="BC8" s="242">
        <v>0</v>
      </c>
      <c r="BD8" s="242">
        <v>0</v>
      </c>
      <c r="BE8" s="242">
        <v>0</v>
      </c>
      <c r="BF8" s="242">
        <v>0</v>
      </c>
      <c r="BG8" s="242">
        <v>0</v>
      </c>
      <c r="BH8" s="242">
        <v>0</v>
      </c>
      <c r="BI8" s="242">
        <v>0</v>
      </c>
      <c r="BJ8" s="242">
        <v>0</v>
      </c>
      <c r="BK8" s="242">
        <v>0</v>
      </c>
      <c r="BL8" s="218">
        <v>0</v>
      </c>
    </row>
    <row r="9" spans="1:65" ht="15" customHeight="1">
      <c r="B9" s="125" t="s">
        <v>84</v>
      </c>
      <c r="C9" s="126"/>
      <c r="D9" s="127">
        <v>1</v>
      </c>
      <c r="E9" s="127">
        <f>D9*(1+'Hulpblad - Uitgangspunten'!E22)</f>
        <v>1.0429999999999999</v>
      </c>
      <c r="F9" s="127">
        <f>E9*(1+'Hulpblad - Uitgangspunten'!F22)</f>
        <v>1.0826339999999999</v>
      </c>
      <c r="G9" s="127">
        <f>F9*(1+'Hulpblad - Uitgangspunten'!G22)</f>
        <v>1.1237740919999999</v>
      </c>
      <c r="H9" s="127">
        <f>G9*(1+'Hulpblad - Uitgangspunten'!H22)</f>
        <v>1.1664775074959999</v>
      </c>
      <c r="I9" s="127">
        <f>H9*(1+'Hulpblad - Uitgangspunten'!$I$22)</f>
        <v>1.1956394451833998</v>
      </c>
      <c r="J9" s="127">
        <f>I9*(1+'Hulpblad - Uitgangspunten'!$I$22)</f>
        <v>1.2255304313129847</v>
      </c>
      <c r="K9" s="127">
        <f>J9*(1+'Hulpblad - Uitgangspunten'!$I$22)</f>
        <v>1.2561686920958093</v>
      </c>
      <c r="L9" s="127">
        <f>K9*(1+'Hulpblad - Uitgangspunten'!$I$22)</f>
        <v>1.2875729093982045</v>
      </c>
      <c r="M9" s="127">
        <f>L9*(1+'Hulpblad - Uitgangspunten'!$I$22)</f>
        <v>1.3197622321331595</v>
      </c>
      <c r="N9" s="127">
        <f>M9*(1+'Hulpblad - Uitgangspunten'!$I$22)</f>
        <v>1.3527562879364883</v>
      </c>
      <c r="O9" s="127">
        <f>N9*(1+'Hulpblad - Uitgangspunten'!$I$22)</f>
        <v>1.3865751951349004</v>
      </c>
      <c r="P9" s="127">
        <f>O9*(1+'Hulpblad - Uitgangspunten'!$I$22)</f>
        <v>1.4212395750132727</v>
      </c>
      <c r="Q9" s="127">
        <f>P9*(1+'Hulpblad - Uitgangspunten'!$I$22)</f>
        <v>1.4567705643886044</v>
      </c>
      <c r="R9" s="127">
        <f>Q9*(1+'Hulpblad - Uitgangspunten'!$I$22)</f>
        <v>1.4931898284983194</v>
      </c>
      <c r="S9" s="127">
        <f>R9*(1+'Hulpblad - Uitgangspunten'!$I$22)</f>
        <v>1.5305195742107773</v>
      </c>
      <c r="T9" s="127">
        <f>S9*(1+'Hulpblad - Uitgangspunten'!$I$22)</f>
        <v>1.5687825635660466</v>
      </c>
      <c r="U9" s="127">
        <f>T9*(1+'Hulpblad - Uitgangspunten'!$I$22)</f>
        <v>1.6080021276551977</v>
      </c>
      <c r="V9" s="127">
        <f>U9*(1+'Hulpblad - Uitgangspunten'!$I$22)</f>
        <v>1.6482021808465774</v>
      </c>
      <c r="W9" s="127">
        <f>V9*(1+'Hulpblad - Uitgangspunten'!$I$22)</f>
        <v>1.6894072353677416</v>
      </c>
      <c r="X9" s="127">
        <f>W9*(1+'Hulpblad - Uitgangspunten'!$I$22)</f>
        <v>1.731642416251935</v>
      </c>
      <c r="Y9" s="127">
        <f>X9*(1+'Hulpblad - Uitgangspunten'!$I$22)</f>
        <v>1.7749334766582332</v>
      </c>
      <c r="Z9" s="127">
        <f>Y9*(1+'Hulpblad - Uitgangspunten'!$I$22)</f>
        <v>1.8193068135746888</v>
      </c>
      <c r="AA9" s="127">
        <f>Z9*(1+'Hulpblad - Uitgangspunten'!$I$22)</f>
        <v>1.864789483914056</v>
      </c>
      <c r="AB9" s="127">
        <f>AA9*(1+'Hulpblad - Uitgangspunten'!$I$22)</f>
        <v>1.9114092210119071</v>
      </c>
      <c r="AC9" s="127">
        <f>AB9*(1+'Hulpblad - Uitgangspunten'!$I$22)</f>
        <v>1.9591944515372046</v>
      </c>
      <c r="AD9" s="127">
        <f>AC9*(1+'Hulpblad - Uitgangspunten'!$I$22)</f>
        <v>2.0081743128256346</v>
      </c>
      <c r="AE9" s="127">
        <f>AD9*(1+'Hulpblad - Uitgangspunten'!$I$22)</f>
        <v>2.0583786706462752</v>
      </c>
      <c r="AF9" s="127">
        <f>AE9*(1+'Hulpblad - Uitgangspunten'!$I$22)</f>
        <v>2.109838137412432</v>
      </c>
      <c r="AG9" s="127">
        <f>AF9*(1+'Hulpblad - Uitgangspunten'!$I$22)</f>
        <v>2.1625840908477425</v>
      </c>
      <c r="AH9" s="127">
        <f>AG9*(1+'Hulpblad - Uitgangspunten'!$I$22)</f>
        <v>2.2166486931189358</v>
      </c>
      <c r="AI9" s="127">
        <f>AH9*(1+'Hulpblad - Uitgangspunten'!$I$22)</f>
        <v>2.2720649104469088</v>
      </c>
      <c r="AJ9" s="127">
        <f>AI9*(1+'Hulpblad - Uitgangspunten'!$I$22)</f>
        <v>2.3288665332080813</v>
      </c>
      <c r="AK9" s="127">
        <f>AJ9*(1+'Hulpblad - Uitgangspunten'!$I$22)</f>
        <v>2.3870881965382833</v>
      </c>
      <c r="AL9" s="127">
        <f>AK9*(1+'Hulpblad - Uitgangspunten'!$I$22)</f>
        <v>2.4467654014517404</v>
      </c>
      <c r="AM9" s="127">
        <f>AL9*(1+'Hulpblad - Uitgangspunten'!$I$22)</f>
        <v>2.5079345364880337</v>
      </c>
      <c r="AN9" s="127">
        <f>AM9*(1+'Hulpblad - Uitgangspunten'!$I$22)</f>
        <v>2.5706328999002341</v>
      </c>
      <c r="AO9" s="127">
        <f>AN9*(1+'Hulpblad - Uitgangspunten'!$I$22)</f>
        <v>2.6348987223977396</v>
      </c>
      <c r="AP9" s="127">
        <f>AO9*(1+'Hulpblad - Uitgangspunten'!$I$22)</f>
        <v>2.700771190457683</v>
      </c>
      <c r="AQ9" s="127">
        <f>AP9*(1+'Hulpblad - Uitgangspunten'!$I$22)</f>
        <v>2.7682904702191249</v>
      </c>
      <c r="AR9" s="127">
        <f>AQ9*(1+'Hulpblad - Uitgangspunten'!$I$22)</f>
        <v>2.8374977319746026</v>
      </c>
      <c r="AS9" s="127">
        <f>AR9*(1+'Hulpblad - Uitgangspunten'!$I$22)</f>
        <v>2.9084351752739677</v>
      </c>
      <c r="AT9" s="127">
        <f>AS9*(1+'Hulpblad - Uitgangspunten'!$I$22)</f>
        <v>2.9811460546558166</v>
      </c>
      <c r="AU9" s="127">
        <f>AT9*(1+'Hulpblad - Uitgangspunten'!$I$22)</f>
        <v>3.0556747060222116</v>
      </c>
      <c r="AV9" s="127">
        <f>AU9*(1+'Hulpblad - Uitgangspunten'!$I$22)</f>
        <v>3.1320665736727666</v>
      </c>
      <c r="AW9" s="127">
        <f>AV9*(1+'Hulpblad - Uitgangspunten'!$I$22)</f>
        <v>3.2103682380145857</v>
      </c>
      <c r="AX9" s="127">
        <f>AW9*(1+'Hulpblad - Uitgangspunten'!$I$22)</f>
        <v>3.2906274439649499</v>
      </c>
      <c r="AY9" s="127">
        <f>AX9*(1+'Hulpblad - Uitgangspunten'!$I$22)</f>
        <v>3.3728931300640732</v>
      </c>
      <c r="AZ9" s="127">
        <f>AY9*(1+'Hulpblad - Uitgangspunten'!$I$22)</f>
        <v>3.4572154583156749</v>
      </c>
      <c r="BA9" s="127">
        <f>AZ9*(1+'Hulpblad - Uitgangspunten'!$I$22)</f>
        <v>3.5436458447735664</v>
      </c>
      <c r="BB9" s="127">
        <f>BA9*(1+'Hulpblad - Uitgangspunten'!$I$22)</f>
        <v>3.6322369908929053</v>
      </c>
      <c r="BC9" s="127">
        <f>BB9*(1+'Hulpblad - Uitgangspunten'!$I$22)</f>
        <v>3.7230429156652276</v>
      </c>
      <c r="BD9" s="127">
        <f>BC9*(1+'Hulpblad - Uitgangspunten'!$I$22)</f>
        <v>3.816118988556858</v>
      </c>
      <c r="BE9" s="127">
        <f>BD9*(1+'Hulpblad - Uitgangspunten'!$I$22)</f>
        <v>3.9115219632707792</v>
      </c>
      <c r="BF9" s="127">
        <f>BE9*(1+'Hulpblad - Uitgangspunten'!$I$22)</f>
        <v>4.0093100123525485</v>
      </c>
      <c r="BG9" s="127">
        <f>BF9*(1+'Hulpblad - Uitgangspunten'!$I$22)</f>
        <v>4.1095427626613619</v>
      </c>
      <c r="BH9" s="127">
        <f>BG9*(1+'Hulpblad - Uitgangspunten'!$I$22)</f>
        <v>4.2122813317278958</v>
      </c>
      <c r="BI9" s="127">
        <f>BH9*(1+'Hulpblad - Uitgangspunten'!$I$22)</f>
        <v>4.3175883650210931</v>
      </c>
      <c r="BJ9" s="127">
        <f>BI9*(1+'Hulpblad - Uitgangspunten'!$I$22)</f>
        <v>4.4255280741466203</v>
      </c>
      <c r="BK9" s="127">
        <f>BJ9*(1+'Hulpblad - Uitgangspunten'!$I$22)</f>
        <v>4.5361662760002854</v>
      </c>
      <c r="BL9" s="238">
        <f>BK9*(1+'Hulpblad - Uitgangspunten'!$I$22)</f>
        <v>4.6495704329002923</v>
      </c>
    </row>
    <row r="10" spans="1:65" ht="16" customHeight="1">
      <c r="E10" s="3"/>
      <c r="F10" s="3"/>
      <c r="G10" s="3"/>
      <c r="H10" s="3"/>
      <c r="I10" s="3"/>
      <c r="J10" s="3"/>
      <c r="K10" s="3"/>
      <c r="L10" s="3"/>
      <c r="M10" s="3"/>
      <c r="N10" s="3"/>
      <c r="O10" s="3"/>
      <c r="P10" s="3"/>
      <c r="Q10" s="3"/>
      <c r="R10" s="3"/>
      <c r="S10" s="3"/>
    </row>
    <row r="11" spans="1:65" ht="16" customHeight="1">
      <c r="B11" s="138" t="s">
        <v>85</v>
      </c>
      <c r="C11" s="73"/>
      <c r="D11" s="40"/>
      <c r="E11" s="3"/>
      <c r="F11" s="3"/>
      <c r="G11" s="3"/>
      <c r="H11" s="3"/>
      <c r="I11" s="3"/>
      <c r="J11" s="3"/>
      <c r="K11" s="3"/>
      <c r="L11" s="3"/>
      <c r="M11" s="3"/>
      <c r="N11" s="3"/>
      <c r="O11" s="3"/>
      <c r="P11" s="3"/>
      <c r="Q11" s="3"/>
      <c r="R11" s="3"/>
      <c r="S11" s="3"/>
    </row>
    <row r="12" spans="1:65" ht="14.5" customHeight="1">
      <c r="B12" s="18" t="s">
        <v>86</v>
      </c>
      <c r="C12" s="115"/>
      <c r="D12" s="119" t="str">
        <f>IF(OR(COUNTIF(D8:BL8,"&lt;=0")&gt;0,COUNTBLANK(D8:BL8)&gt;0),"Incorrect","Correct")</f>
        <v>Incorrect</v>
      </c>
      <c r="E12" s="3"/>
      <c r="F12" s="3"/>
      <c r="G12" s="3"/>
      <c r="H12" s="3"/>
      <c r="I12" s="3"/>
      <c r="J12" s="3"/>
      <c r="K12" s="3"/>
      <c r="L12" s="3"/>
      <c r="M12" s="3"/>
      <c r="N12" s="3"/>
      <c r="O12" s="3"/>
      <c r="P12" s="3"/>
      <c r="Q12" s="3"/>
      <c r="R12" s="3"/>
      <c r="S12" s="3"/>
    </row>
    <row r="13" spans="1:65" ht="14.5" customHeight="1"/>
  </sheetData>
  <sheetProtection sheet="1" objects="1" scenarios="1"/>
  <conditionalFormatting sqref="B11">
    <cfRule type="expression" dxfId="4" priority="1">
      <formula>IF(#REF!="Volledige MJOP",TRUE,FALSE)</formula>
    </cfRule>
  </conditionalFormatting>
  <conditionalFormatting sqref="D12">
    <cfRule type="containsText" dxfId="3" priority="2" operator="containsText" text="Incorrect">
      <formula>NOT(ISERROR(SEARCH("Incorrect",D12)))</formula>
    </cfRule>
    <cfRule type="containsText" dxfId="2" priority="3" operator="containsText" text="Correct">
      <formula>NOT(ISERROR(SEARCH("Correct",D12)))</formula>
    </cfRule>
  </conditionalFormatting>
  <dataValidations count="4">
    <dataValidation allowBlank="1" showInputMessage="1" showErrorMessage="1" promptTitle="Onderhoudsnorm (per woning)" prompt="Vul hier voor 60 jaar de nominale onderhoudskosten/onderhoudsnorm per woning in. LET OP: vul nominale bedragen in, dus zonder indexering." sqref="D7:BL7 B7:C8" xr:uid="{CFC07F36-EDBD-490D-9163-F556ABBB70F6}"/>
    <dataValidation allowBlank="1" showInputMessage="1" showErrorMessage="1" promptTitle="Check" prompt="Check of alle jaren correct gevuld zijn." sqref="B12:D12" xr:uid="{293350E5-00F3-4D91-BCA3-2987AE1AFA85}"/>
    <dataValidation type="whole" showInputMessage="1" showErrorMessage="1" promptTitle="Onderhoudsnorm (per woning)" prompt="Vul hier voor 60 jaar de nominale onderhoudskosten/onderhoudsnorm per woning in. LET OP: vul nominale bedragen in, dus zonder indexering." sqref="D8:BL8" xr:uid="{C7A93698-2F31-4FA5-B811-00444FA230E1}">
      <formula1>0</formula1>
      <formula2>999999999999999</formula2>
    </dataValidation>
    <dataValidation allowBlank="1" showInputMessage="1" showErrorMessage="1" prompt="Link naar de portal Datawonen van het ministerie van Volkshuisvesting en Ruimtelijke Ordening (VRO). _x000a_Via deze portal zijn gemiddelde beheer- en onderhoudsnormen van corproaties en regio's in te zien._x000a_Let op! deze kunnen een andere peildatum hebben!" sqref="B11" xr:uid="{61772B91-CCC0-46B1-80FD-9482B5F33420}"/>
  </dataValidations>
  <hyperlinks>
    <hyperlink ref="B11" r:id="rId1" display="Indicatie onderhoud" xr:uid="{C8B6EFBD-2DC7-47B8-BCE7-92310085FB72}"/>
  </hyperlinks>
  <pageMargins left="0.7" right="0.7" top="0.75" bottom="0.75" header="0.3" footer="0.3"/>
  <pageSetup paperSize="9" scale="45"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62C59-FC70-40DB-9300-99A0F8FF3350}">
  <sheetPr codeName="Sheet1">
    <tabColor rgb="FFEEE7CA"/>
    <pageSetUpPr fitToPage="1"/>
  </sheetPr>
  <dimension ref="A1:M66"/>
  <sheetViews>
    <sheetView showGridLines="0" zoomScale="85" zoomScaleNormal="85" workbookViewId="0">
      <pane ySplit="3" topLeftCell="A4" activePane="bottomLeft" state="frozen"/>
      <selection activeCell="A4" sqref="A4"/>
      <selection pane="bottomLeft" activeCell="G16" sqref="G16"/>
    </sheetView>
  </sheetViews>
  <sheetFormatPr defaultColWidth="0" defaultRowHeight="14.5" zeroHeight="1"/>
  <cols>
    <col min="1" max="1" width="2.81640625" customWidth="1"/>
    <col min="2" max="2" width="43.54296875" customWidth="1"/>
    <col min="3" max="3" width="21.453125" customWidth="1"/>
    <col min="4" max="4" width="28.54296875" customWidth="1"/>
    <col min="5" max="5" width="4.26953125" customWidth="1"/>
    <col min="6" max="6" width="21.453125" customWidth="1"/>
    <col min="7" max="7" width="42.81640625" customWidth="1"/>
    <col min="8" max="8" width="14.26953125" customWidth="1"/>
    <col min="9" max="9" width="2.81640625" customWidth="1"/>
    <col min="10" max="12" width="8.54296875" hidden="1" customWidth="1"/>
    <col min="13" max="13" width="8.7265625" hidden="1" customWidth="1"/>
    <col min="14" max="16384" width="8.54296875" hidden="1"/>
  </cols>
  <sheetData>
    <row r="1" spans="1:9">
      <c r="A1" s="89"/>
      <c r="B1" s="89"/>
      <c r="C1" s="89"/>
      <c r="D1" s="89"/>
      <c r="E1" s="89"/>
      <c r="F1" s="89"/>
      <c r="G1" s="89"/>
      <c r="H1" s="89"/>
      <c r="I1" s="89"/>
    </row>
    <row r="2" spans="1:9" ht="33" customHeight="1">
      <c r="A2" s="89"/>
      <c r="B2" s="89"/>
      <c r="C2" s="89"/>
      <c r="D2" s="89"/>
      <c r="E2" s="89"/>
      <c r="F2" s="89"/>
      <c r="G2" s="89"/>
      <c r="H2" s="89"/>
      <c r="I2" s="89"/>
    </row>
    <row r="3" spans="1:9">
      <c r="A3" s="89"/>
      <c r="B3" s="89"/>
      <c r="C3" s="89"/>
      <c r="D3" s="89"/>
      <c r="E3" s="89"/>
      <c r="F3" s="89"/>
      <c r="G3" s="89"/>
      <c r="H3" s="89"/>
      <c r="I3" s="89"/>
    </row>
    <row r="4" spans="1:9"/>
    <row r="5" spans="1:9" ht="15" customHeight="1">
      <c r="B5" s="21" t="s">
        <v>49</v>
      </c>
      <c r="C5" s="22"/>
    </row>
    <row r="6" spans="1:9" ht="15" customHeight="1">
      <c r="B6" s="13" t="s">
        <v>3</v>
      </c>
      <c r="C6" s="230" t="s">
        <v>87</v>
      </c>
    </row>
    <row r="7" spans="1:9" ht="15" customHeight="1">
      <c r="B7" s="14" t="s">
        <v>4</v>
      </c>
      <c r="C7" s="233">
        <v>45691</v>
      </c>
    </row>
    <row r="8" spans="1:9" ht="15" customHeight="1">
      <c r="C8" s="103"/>
    </row>
    <row r="9" spans="1:9" ht="15" customHeight="1">
      <c r="B9" s="21" t="s">
        <v>5</v>
      </c>
      <c r="C9" s="22"/>
    </row>
    <row r="10" spans="1:9" ht="15" customHeight="1">
      <c r="B10" s="13" t="s">
        <v>6</v>
      </c>
      <c r="C10" s="229" t="s">
        <v>59</v>
      </c>
    </row>
    <row r="11" spans="1:9" ht="15" customHeight="1">
      <c r="B11" s="13" t="s">
        <v>7</v>
      </c>
      <c r="C11" s="230">
        <v>1</v>
      </c>
    </row>
    <row r="12" spans="1:9" ht="15" customHeight="1">
      <c r="B12" s="14" t="s">
        <v>52</v>
      </c>
      <c r="C12" s="231" t="s">
        <v>53</v>
      </c>
    </row>
    <row r="13" spans="1:9" ht="15" customHeight="1"/>
    <row r="14" spans="1:9" ht="15" customHeight="1">
      <c r="B14" s="394" t="s">
        <v>54</v>
      </c>
      <c r="C14" s="395"/>
      <c r="D14" s="402"/>
      <c r="E14" s="25"/>
      <c r="F14" s="379" t="s">
        <v>55</v>
      </c>
      <c r="G14" s="380"/>
      <c r="H14" s="380"/>
    </row>
    <row r="15" spans="1:9" ht="15" customHeight="1"/>
    <row r="16" spans="1:9" ht="15" customHeight="1">
      <c r="B16" s="8" t="s">
        <v>88</v>
      </c>
      <c r="C16" s="9"/>
      <c r="D16" s="16" t="s">
        <v>11</v>
      </c>
      <c r="F16" s="41" t="s">
        <v>89</v>
      </c>
      <c r="G16" s="42" t="s">
        <v>11</v>
      </c>
      <c r="H16" s="12" t="s">
        <v>34</v>
      </c>
    </row>
    <row r="17" spans="2:8" ht="15" customHeight="1">
      <c r="B17" s="13" t="s">
        <v>90</v>
      </c>
      <c r="C17" s="239">
        <v>0</v>
      </c>
      <c r="D17" s="236" t="s">
        <v>210</v>
      </c>
      <c r="F17" s="390" t="s">
        <v>91</v>
      </c>
      <c r="G17" s="399" t="s">
        <v>59</v>
      </c>
      <c r="H17" s="387" t="s">
        <v>60</v>
      </c>
    </row>
    <row r="18" spans="2:8" ht="15" customHeight="1">
      <c r="B18" s="14" t="s">
        <v>92</v>
      </c>
      <c r="C18" s="240">
        <v>0</v>
      </c>
      <c r="D18" s="241" t="s">
        <v>210</v>
      </c>
      <c r="F18" s="391"/>
      <c r="G18" s="400"/>
      <c r="H18" s="388"/>
    </row>
    <row r="19" spans="2:8" ht="15" customHeight="1">
      <c r="F19" s="392"/>
      <c r="G19" s="401"/>
      <c r="H19" s="389"/>
    </row>
    <row r="20" spans="2:8" ht="15" customHeight="1">
      <c r="B20" s="10" t="s">
        <v>212</v>
      </c>
      <c r="C20" s="11"/>
      <c r="D20" s="12" t="s">
        <v>11</v>
      </c>
      <c r="F20" s="390" t="s">
        <v>37</v>
      </c>
      <c r="G20" s="399" t="s">
        <v>59</v>
      </c>
      <c r="H20" s="387" t="s">
        <v>60</v>
      </c>
    </row>
    <row r="21" spans="2:8" ht="15" customHeight="1">
      <c r="B21" s="15" t="s">
        <v>93</v>
      </c>
      <c r="C21" s="242">
        <v>0</v>
      </c>
      <c r="D21" s="214" t="s">
        <v>210</v>
      </c>
      <c r="F21" s="391"/>
      <c r="G21" s="400"/>
      <c r="H21" s="388"/>
    </row>
    <row r="22" spans="2:8" ht="15" customHeight="1">
      <c r="B22" s="60" t="s">
        <v>94</v>
      </c>
      <c r="C22" s="226">
        <v>0</v>
      </c>
      <c r="D22" s="236" t="s">
        <v>210</v>
      </c>
      <c r="F22" s="392"/>
      <c r="G22" s="401"/>
      <c r="H22" s="389"/>
    </row>
    <row r="23" spans="2:8" ht="15" customHeight="1">
      <c r="B23" s="60" t="s">
        <v>95</v>
      </c>
      <c r="C23" s="227">
        <v>0</v>
      </c>
      <c r="D23" s="236" t="s">
        <v>210</v>
      </c>
      <c r="E23" s="3"/>
      <c r="F23" s="390" t="s">
        <v>96</v>
      </c>
      <c r="G23" s="399" t="s">
        <v>59</v>
      </c>
      <c r="H23" s="387" t="s">
        <v>60</v>
      </c>
    </row>
    <row r="24" spans="2:8" ht="15" customHeight="1">
      <c r="B24" s="88" t="s">
        <v>97</v>
      </c>
      <c r="C24" s="65">
        <f>SUM(C21:C23)</f>
        <v>0</v>
      </c>
      <c r="D24" s="243" t="s">
        <v>210</v>
      </c>
      <c r="F24" s="391"/>
      <c r="G24" s="400"/>
      <c r="H24" s="388"/>
    </row>
    <row r="25" spans="2:8" ht="15" customHeight="1">
      <c r="F25" s="392"/>
      <c r="G25" s="401"/>
      <c r="H25" s="389"/>
    </row>
    <row r="26" spans="2:8" ht="15" customHeight="1">
      <c r="B26" s="10" t="s">
        <v>213</v>
      </c>
      <c r="C26" s="11"/>
      <c r="D26" s="12" t="s">
        <v>11</v>
      </c>
      <c r="F26" s="390" t="s">
        <v>98</v>
      </c>
      <c r="G26" s="399" t="s">
        <v>59</v>
      </c>
      <c r="H26" s="387" t="s">
        <v>60</v>
      </c>
    </row>
    <row r="27" spans="2:8" ht="15" customHeight="1">
      <c r="B27" s="64" t="s">
        <v>99</v>
      </c>
      <c r="C27" s="253" t="s">
        <v>100</v>
      </c>
      <c r="D27" s="214" t="s">
        <v>210</v>
      </c>
      <c r="E27" s="3"/>
      <c r="F27" s="391"/>
      <c r="G27" s="400"/>
      <c r="H27" s="388"/>
    </row>
    <row r="28" spans="2:8" ht="15" customHeight="1">
      <c r="B28" s="13" t="str">
        <f>IF($C$27="Grondkosten (simpel)","Inbrengwaarde grond","")</f>
        <v/>
      </c>
      <c r="C28" s="227">
        <v>0</v>
      </c>
      <c r="D28" s="236" t="s">
        <v>210</v>
      </c>
      <c r="F28" s="392"/>
      <c r="G28" s="401"/>
      <c r="H28" s="389"/>
    </row>
    <row r="29" spans="2:8" ht="15" customHeight="1">
      <c r="B29" s="29" t="str">
        <f>IF(C27="Grondkosten (simpel)","Vul hier de totale grondkosten in --&gt;"," ")</f>
        <v xml:space="preserve"> </v>
      </c>
      <c r="C29" s="227">
        <v>0</v>
      </c>
      <c r="D29" s="236" t="s">
        <v>210</v>
      </c>
      <c r="F29" s="399" t="s">
        <v>38</v>
      </c>
      <c r="G29" s="399" t="s">
        <v>59</v>
      </c>
      <c r="H29" s="387" t="s">
        <v>60</v>
      </c>
    </row>
    <row r="30" spans="2:8" ht="15" customHeight="1">
      <c r="B30" s="344" t="str">
        <f>IF($C$27="Grondkosten (simpel)","(excl. Inbrengwaarde)","Vul de volledige GREX in ---&gt; zie blad:")</f>
        <v>Vul de volledige GREX in ---&gt; zie blad:</v>
      </c>
      <c r="C30" s="345" t="str">
        <f>IF($C$27="Grondkosten (simpel)","(excl. Inbrengwaarde)","Ontwikkelaar - GREX")</f>
        <v>Ontwikkelaar - GREX</v>
      </c>
      <c r="D30" s="236" t="s">
        <v>210</v>
      </c>
      <c r="F30" s="400"/>
      <c r="G30" s="400"/>
      <c r="H30" s="388"/>
    </row>
    <row r="31" spans="2:8" ht="15" customHeight="1">
      <c r="B31" s="86" t="s">
        <v>101</v>
      </c>
      <c r="C31" s="87">
        <f>IF(C27="Grondkosten (simpel)",C29+C28,'Ontwikkelaar - GREX'!$C$33)</f>
        <v>0</v>
      </c>
      <c r="D31" s="244" t="s">
        <v>210</v>
      </c>
      <c r="F31" s="401"/>
      <c r="G31" s="401"/>
      <c r="H31" s="389"/>
    </row>
    <row r="32" spans="2:8" ht="15" customHeight="1">
      <c r="B32" s="15" t="s">
        <v>102</v>
      </c>
      <c r="C32" s="242">
        <v>0</v>
      </c>
      <c r="D32" s="214" t="s">
        <v>210</v>
      </c>
    </row>
    <row r="33" spans="2:8" ht="15" customHeight="1">
      <c r="B33" s="13" t="s">
        <v>103</v>
      </c>
      <c r="C33" s="227">
        <v>0</v>
      </c>
      <c r="D33" s="236" t="s">
        <v>210</v>
      </c>
      <c r="F33" s="114" t="s">
        <v>42</v>
      </c>
      <c r="G33" s="37" t="s">
        <v>11</v>
      </c>
      <c r="H33" s="16" t="s">
        <v>34</v>
      </c>
    </row>
    <row r="34" spans="2:8" ht="15" customHeight="1">
      <c r="B34" s="13" t="s">
        <v>104</v>
      </c>
      <c r="C34" s="227">
        <v>0</v>
      </c>
      <c r="D34" s="236" t="s">
        <v>210</v>
      </c>
      <c r="F34" s="390" t="s">
        <v>43</v>
      </c>
      <c r="G34" s="384" t="s">
        <v>59</v>
      </c>
      <c r="H34" s="387" t="s">
        <v>60</v>
      </c>
    </row>
    <row r="35" spans="2:8" ht="15" customHeight="1">
      <c r="B35" s="13" t="s">
        <v>105</v>
      </c>
      <c r="C35" s="227">
        <v>0</v>
      </c>
      <c r="D35" s="236" t="s">
        <v>210</v>
      </c>
      <c r="F35" s="391"/>
      <c r="G35" s="385"/>
      <c r="H35" s="388"/>
    </row>
    <row r="36" spans="2:8" ht="15" customHeight="1">
      <c r="B36" s="94" t="s">
        <v>106</v>
      </c>
      <c r="C36" s="95">
        <f>SUM(C32:C35)</f>
        <v>0</v>
      </c>
      <c r="D36" s="245" t="s">
        <v>210</v>
      </c>
      <c r="F36" s="392"/>
      <c r="G36" s="386"/>
      <c r="H36" s="389"/>
    </row>
    <row r="37" spans="2:8" ht="15" customHeight="1">
      <c r="B37" s="15" t="s">
        <v>107</v>
      </c>
      <c r="C37" s="247">
        <v>0</v>
      </c>
      <c r="D37" s="214" t="s">
        <v>210</v>
      </c>
      <c r="E37" s="3"/>
      <c r="F37" s="396" t="s">
        <v>44</v>
      </c>
      <c r="G37" s="384" t="s">
        <v>59</v>
      </c>
      <c r="H37" s="387" t="s">
        <v>60</v>
      </c>
    </row>
    <row r="38" spans="2:8" ht="15" customHeight="1">
      <c r="B38" s="13" t="s">
        <v>108</v>
      </c>
      <c r="C38" s="90">
        <f>SUM($C$31,$C$36)*C37</f>
        <v>0</v>
      </c>
      <c r="D38" s="236" t="s">
        <v>210</v>
      </c>
      <c r="F38" s="397"/>
      <c r="G38" s="385"/>
      <c r="H38" s="388"/>
    </row>
    <row r="39" spans="2:8" ht="15" customHeight="1">
      <c r="B39" s="96" t="s">
        <v>109</v>
      </c>
      <c r="C39" s="97">
        <f>SUM(C31,C36,C38)</f>
        <v>0</v>
      </c>
      <c r="D39" s="246" t="s">
        <v>210</v>
      </c>
      <c r="F39" s="398"/>
      <c r="G39" s="386"/>
      <c r="H39" s="389"/>
    </row>
    <row r="40" spans="2:8" ht="15" customHeight="1">
      <c r="B40" s="36" t="s">
        <v>110</v>
      </c>
      <c r="C40" s="98">
        <f>'Hulpblad - Uitgangspunten'!$D$10*$C$39</f>
        <v>0</v>
      </c>
      <c r="D40" s="209" t="s">
        <v>210</v>
      </c>
    </row>
    <row r="41" spans="2:8" ht="15" customHeight="1">
      <c r="B41" s="88" t="s">
        <v>111</v>
      </c>
      <c r="C41" s="65">
        <f>SUM(C39:C40)</f>
        <v>0</v>
      </c>
      <c r="D41" s="246" t="s">
        <v>210</v>
      </c>
      <c r="F41" s="32" t="s">
        <v>45</v>
      </c>
      <c r="G41" s="37" t="s">
        <v>11</v>
      </c>
      <c r="H41" s="16" t="s">
        <v>34</v>
      </c>
    </row>
    <row r="42" spans="2:8" ht="15" customHeight="1">
      <c r="B42" s="91"/>
      <c r="C42" s="92"/>
      <c r="D42" s="93"/>
      <c r="F42" s="399" t="s">
        <v>59</v>
      </c>
      <c r="G42" s="384" t="s">
        <v>59</v>
      </c>
      <c r="H42" s="387" t="s">
        <v>60</v>
      </c>
    </row>
    <row r="43" spans="2:8" ht="15" customHeight="1">
      <c r="B43" s="22"/>
      <c r="C43" s="61" t="s">
        <v>112</v>
      </c>
      <c r="D43" s="22"/>
      <c r="F43" s="400"/>
      <c r="G43" s="385"/>
      <c r="H43" s="388"/>
    </row>
    <row r="44" spans="2:8" ht="15" customHeight="1">
      <c r="F44" s="401"/>
      <c r="G44" s="386"/>
      <c r="H44" s="389"/>
    </row>
    <row r="45" spans="2:8" ht="15" customHeight="1">
      <c r="B45" s="8" t="s">
        <v>113</v>
      </c>
      <c r="C45" s="9"/>
      <c r="D45" s="16" t="s">
        <v>11</v>
      </c>
      <c r="F45" s="399" t="s">
        <v>59</v>
      </c>
      <c r="G45" s="384" t="s">
        <v>59</v>
      </c>
      <c r="H45" s="387" t="s">
        <v>60</v>
      </c>
    </row>
    <row r="46" spans="2:8" ht="15" customHeight="1">
      <c r="B46" s="36" t="s">
        <v>114</v>
      </c>
      <c r="C46" s="49">
        <f>C24-C39</f>
        <v>0</v>
      </c>
      <c r="D46" s="248" t="s">
        <v>210</v>
      </c>
      <c r="F46" s="400"/>
      <c r="G46" s="385"/>
      <c r="H46" s="388"/>
    </row>
    <row r="47" spans="2:8" ht="15" customHeight="1">
      <c r="C47" s="34"/>
      <c r="D47" s="35"/>
      <c r="F47" s="401"/>
      <c r="G47" s="386"/>
      <c r="H47" s="389"/>
    </row>
    <row r="48" spans="2:8" ht="15" customHeight="1">
      <c r="B48" s="8" t="s">
        <v>19</v>
      </c>
      <c r="C48" s="9"/>
      <c r="D48" s="16" t="s">
        <v>11</v>
      </c>
      <c r="F48" s="399" t="s">
        <v>59</v>
      </c>
      <c r="G48" s="384" t="s">
        <v>59</v>
      </c>
      <c r="H48" s="387" t="s">
        <v>60</v>
      </c>
    </row>
    <row r="49" spans="2:8" ht="15" customHeight="1">
      <c r="B49" s="19" t="s">
        <v>115</v>
      </c>
      <c r="C49" s="104">
        <f>IFERROR($C$21/$C$11,0)</f>
        <v>0</v>
      </c>
      <c r="D49" s="249" t="s">
        <v>210</v>
      </c>
      <c r="F49" s="400"/>
      <c r="G49" s="385"/>
      <c r="H49" s="388"/>
    </row>
    <row r="50" spans="2:8" ht="15" customHeight="1">
      <c r="B50" s="17" t="s">
        <v>116</v>
      </c>
      <c r="C50" s="50">
        <f>IFERROR($C$21/($C$11*C17),0)</f>
        <v>0</v>
      </c>
      <c r="D50" s="249" t="s">
        <v>210</v>
      </c>
      <c r="F50" s="401"/>
      <c r="G50" s="386"/>
      <c r="H50" s="389"/>
    </row>
    <row r="51" spans="2:8" ht="15" customHeight="1">
      <c r="B51" s="18" t="s">
        <v>117</v>
      </c>
      <c r="C51" s="106">
        <f>IFERROR($C$21/($C$11*$C$18),0)</f>
        <v>0</v>
      </c>
      <c r="D51" s="250" t="s">
        <v>210</v>
      </c>
    </row>
    <row r="52" spans="2:8" ht="15" customHeight="1"/>
    <row r="53" spans="2:8" ht="15" customHeight="1">
      <c r="B53" s="8" t="s">
        <v>25</v>
      </c>
      <c r="C53" s="9"/>
      <c r="D53" s="16" t="s">
        <v>11</v>
      </c>
    </row>
    <row r="54" spans="2:8" ht="15.65" customHeight="1">
      <c r="B54" s="19" t="s">
        <v>118</v>
      </c>
      <c r="C54" s="52">
        <f>IFERROR($C$31/$C$11,0)</f>
        <v>0</v>
      </c>
      <c r="D54" s="249" t="s">
        <v>210</v>
      </c>
    </row>
    <row r="55" spans="2:8" ht="15" customHeight="1">
      <c r="B55" s="18" t="s">
        <v>119</v>
      </c>
      <c r="C55" s="62">
        <f>IFERROR($C$31/$C$39,0)</f>
        <v>0</v>
      </c>
      <c r="D55" s="250" t="s">
        <v>210</v>
      </c>
    </row>
    <row r="56" spans="2:8" ht="15" customHeight="1"/>
    <row r="57" spans="2:8" ht="15" customHeight="1">
      <c r="B57" s="8" t="s">
        <v>29</v>
      </c>
      <c r="C57" s="9"/>
      <c r="D57" s="16" t="s">
        <v>11</v>
      </c>
    </row>
    <row r="58" spans="2:8" ht="15" customHeight="1">
      <c r="B58" s="19" t="s">
        <v>120</v>
      </c>
      <c r="C58" s="104">
        <f>IFERROR($C$32/$C$11,0)</f>
        <v>0</v>
      </c>
      <c r="D58" s="251" t="s">
        <v>210</v>
      </c>
    </row>
    <row r="59" spans="2:8" ht="15" customHeight="1">
      <c r="B59" s="17" t="s">
        <v>121</v>
      </c>
      <c r="C59" s="50">
        <f>IFERROR($C$32/($C$11*$C$17),0)</f>
        <v>0</v>
      </c>
      <c r="D59" s="251" t="s">
        <v>210</v>
      </c>
    </row>
    <row r="60" spans="2:8" ht="15" customHeight="1">
      <c r="B60" s="18" t="s">
        <v>122</v>
      </c>
      <c r="C60" s="51">
        <f>IFERROR($C$32/($C$11*$C$18),0)</f>
        <v>0</v>
      </c>
      <c r="D60" s="252" t="s">
        <v>210</v>
      </c>
    </row>
    <row r="61" spans="2:8" ht="15" customHeight="1"/>
    <row r="62" spans="2:8" ht="15" customHeight="1">
      <c r="B62" s="8" t="s">
        <v>31</v>
      </c>
      <c r="C62" s="9"/>
      <c r="D62" s="16" t="s">
        <v>11</v>
      </c>
    </row>
    <row r="63" spans="2:8" ht="15" customHeight="1">
      <c r="B63" s="19" t="s">
        <v>123</v>
      </c>
      <c r="C63" s="105">
        <f>IFERROR($C$33/$C$11,0)</f>
        <v>0</v>
      </c>
      <c r="D63" s="249" t="s">
        <v>210</v>
      </c>
    </row>
    <row r="64" spans="2:8" ht="15" customHeight="1">
      <c r="B64" s="17" t="s">
        <v>124</v>
      </c>
      <c r="C64" s="47">
        <f>IFERROR($C$33/($C$11*$C$17),0)</f>
        <v>0</v>
      </c>
      <c r="D64" s="251" t="s">
        <v>210</v>
      </c>
    </row>
    <row r="65" spans="2:4" ht="15" customHeight="1">
      <c r="B65" s="18" t="s">
        <v>125</v>
      </c>
      <c r="C65" s="48">
        <f>IFERROR($C$33/($C$11*$C$18),0)</f>
        <v>0</v>
      </c>
      <c r="D65" s="252" t="s">
        <v>210</v>
      </c>
    </row>
    <row r="66" spans="2:4"/>
  </sheetData>
  <sheetProtection sheet="1" objects="1" scenarios="1"/>
  <mergeCells count="32">
    <mergeCell ref="B14:D14"/>
    <mergeCell ref="F14:H14"/>
    <mergeCell ref="F17:F19"/>
    <mergeCell ref="G17:G19"/>
    <mergeCell ref="H17:H19"/>
    <mergeCell ref="F20:F22"/>
    <mergeCell ref="G20:G22"/>
    <mergeCell ref="H20:H22"/>
    <mergeCell ref="F23:F25"/>
    <mergeCell ref="G23:G25"/>
    <mergeCell ref="H23:H25"/>
    <mergeCell ref="F26:F28"/>
    <mergeCell ref="G26:G28"/>
    <mergeCell ref="H26:H28"/>
    <mergeCell ref="F29:F31"/>
    <mergeCell ref="G29:G31"/>
    <mergeCell ref="H29:H31"/>
    <mergeCell ref="F48:F50"/>
    <mergeCell ref="G48:G50"/>
    <mergeCell ref="H48:H50"/>
    <mergeCell ref="F34:F36"/>
    <mergeCell ref="G34:G36"/>
    <mergeCell ref="H34:H36"/>
    <mergeCell ref="F37:F39"/>
    <mergeCell ref="G37:G39"/>
    <mergeCell ref="H37:H39"/>
    <mergeCell ref="F42:F44"/>
    <mergeCell ref="G42:G44"/>
    <mergeCell ref="H42:H44"/>
    <mergeCell ref="F45:F47"/>
    <mergeCell ref="G45:G47"/>
    <mergeCell ref="H45:H47"/>
  </mergeCells>
  <conditionalFormatting sqref="C28:C29">
    <cfRule type="expression" dxfId="1" priority="1">
      <formula>IF($C$27="Volledige GREX",TRUE,FALSE)</formula>
    </cfRule>
  </conditionalFormatting>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xWindow="634" yWindow="574" count="2">
        <x14:dataValidation type="list" allowBlank="1" showInputMessage="1" showErrorMessage="1" promptTitle="Grondkosten / Volledige GREX" prompt="Kies tussen het invoeren van de grondkosten of voor een volledig in te vullen GREX" xr:uid="{77BE47B4-ADBB-469A-AD53-C16C96DC20F4}">
          <x14:formula1>
            <xm:f>'Hulpblad - Gegevensvalidatie'!$B$8:$B$9</xm:f>
          </x14:formula1>
          <xm:sqref>C27</xm:sqref>
        </x14:dataValidation>
        <x14:dataValidation type="list" allowBlank="1" showInputMessage="1" showErrorMessage="1" promptTitle="Kies de prioriteit van het thema" prompt="Kies de prioriteit van het thema" xr:uid="{8EEADBA7-58DD-4E37-A50A-852BB2FFBD47}">
          <x14:formula1>
            <xm:f>'Hulpblad - Gegevensvalidatie'!$B$12:$B$17</xm:f>
          </x14:formula1>
          <xm:sqref>H17 H37 H34 H48 H20 H23 H26 H29 H45 H42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A0A4B-BA0E-44AE-A42A-4D52D57BD9CC}">
  <sheetPr codeName="Sheet6">
    <tabColor rgb="FFEEE7CA"/>
    <pageSetUpPr fitToPage="1"/>
  </sheetPr>
  <dimension ref="A1:G34"/>
  <sheetViews>
    <sheetView showGridLines="0" zoomScale="90" zoomScaleNormal="90" workbookViewId="0">
      <pane ySplit="3" topLeftCell="A4" activePane="bottomLeft" state="frozen"/>
      <selection activeCell="A4" sqref="A4"/>
      <selection pane="bottomLeft" activeCell="A4" sqref="A4"/>
    </sheetView>
  </sheetViews>
  <sheetFormatPr defaultColWidth="0" defaultRowHeight="14.5" zeroHeight="1"/>
  <cols>
    <col min="1" max="1" width="2.81640625" customWidth="1"/>
    <col min="2" max="2" width="43.54296875" customWidth="1"/>
    <col min="3" max="3" width="21.453125" customWidth="1"/>
    <col min="4" max="4" width="2.81640625" customWidth="1"/>
    <col min="5" max="6" width="8.54296875" hidden="1" customWidth="1"/>
    <col min="7" max="7" width="3.54296875" hidden="1" customWidth="1"/>
    <col min="8" max="16384" width="8.54296875" hidden="1"/>
  </cols>
  <sheetData>
    <row r="1" spans="1:4">
      <c r="A1" s="89"/>
      <c r="B1" s="89"/>
      <c r="C1" s="89"/>
      <c r="D1" s="89"/>
    </row>
    <row r="2" spans="1:4" ht="33" customHeight="1">
      <c r="A2" s="89"/>
      <c r="B2" s="89"/>
      <c r="C2" s="89"/>
      <c r="D2" s="89"/>
    </row>
    <row r="3" spans="1:4">
      <c r="A3" s="89"/>
      <c r="B3" s="89"/>
      <c r="C3" s="89"/>
      <c r="D3" s="89"/>
    </row>
    <row r="4" spans="1:4"/>
    <row r="5" spans="1:4" ht="15" customHeight="1">
      <c r="B5" s="380" t="s">
        <v>126</v>
      </c>
      <c r="C5" s="380"/>
    </row>
    <row r="6" spans="1:4" ht="15" customHeight="1">
      <c r="B6" s="254" t="s">
        <v>59</v>
      </c>
      <c r="C6" s="255">
        <v>0</v>
      </c>
    </row>
    <row r="7" spans="1:4" ht="15" customHeight="1">
      <c r="B7" s="254" t="s">
        <v>59</v>
      </c>
      <c r="C7" s="255">
        <v>0</v>
      </c>
    </row>
    <row r="8" spans="1:4" ht="15" customHeight="1">
      <c r="B8" s="254" t="s">
        <v>59</v>
      </c>
      <c r="C8" s="255">
        <v>0</v>
      </c>
    </row>
    <row r="9" spans="1:4" ht="15" customHeight="1">
      <c r="B9" s="254" t="s">
        <v>59</v>
      </c>
      <c r="C9" s="255">
        <v>0</v>
      </c>
    </row>
    <row r="10" spans="1:4" ht="15" customHeight="1">
      <c r="B10" s="254" t="s">
        <v>59</v>
      </c>
      <c r="C10" s="255">
        <v>0</v>
      </c>
    </row>
    <row r="11" spans="1:4" ht="15" customHeight="1">
      <c r="B11" s="254" t="s">
        <v>59</v>
      </c>
      <c r="C11" s="255">
        <v>0</v>
      </c>
    </row>
    <row r="12" spans="1:4" ht="15" customHeight="1">
      <c r="B12" s="254" t="s">
        <v>59</v>
      </c>
      <c r="C12" s="255">
        <v>0</v>
      </c>
    </row>
    <row r="13" spans="1:4" ht="15" customHeight="1">
      <c r="B13" s="254" t="s">
        <v>59</v>
      </c>
      <c r="C13" s="255">
        <v>0</v>
      </c>
    </row>
    <row r="14" spans="1:4" ht="15" customHeight="1">
      <c r="B14" s="254" t="s">
        <v>59</v>
      </c>
      <c r="C14" s="255">
        <v>0</v>
      </c>
    </row>
    <row r="15" spans="1:4" ht="15" customHeight="1">
      <c r="B15" s="254" t="s">
        <v>59</v>
      </c>
      <c r="C15" s="255">
        <v>0</v>
      </c>
    </row>
    <row r="16" spans="1:4" ht="15" customHeight="1">
      <c r="B16" s="254" t="s">
        <v>59</v>
      </c>
      <c r="C16" s="255">
        <v>0</v>
      </c>
    </row>
    <row r="17" spans="2:3" ht="15" customHeight="1">
      <c r="B17" s="254" t="s">
        <v>59</v>
      </c>
      <c r="C17" s="255">
        <v>0</v>
      </c>
    </row>
    <row r="18" spans="2:3" ht="15" customHeight="1">
      <c r="B18" s="254" t="s">
        <v>59</v>
      </c>
      <c r="C18" s="255">
        <v>0</v>
      </c>
    </row>
    <row r="19" spans="2:3" ht="15" customHeight="1">
      <c r="B19" s="254" t="s">
        <v>59</v>
      </c>
      <c r="C19" s="255">
        <v>0</v>
      </c>
    </row>
    <row r="20" spans="2:3" ht="15" customHeight="1">
      <c r="B20" s="254" t="s">
        <v>59</v>
      </c>
      <c r="C20" s="255">
        <v>0</v>
      </c>
    </row>
    <row r="21" spans="2:3" ht="15" customHeight="1">
      <c r="B21" s="254" t="s">
        <v>59</v>
      </c>
      <c r="C21" s="255">
        <v>0</v>
      </c>
    </row>
    <row r="22" spans="2:3" ht="15" customHeight="1">
      <c r="B22" s="254" t="s">
        <v>59</v>
      </c>
      <c r="C22" s="255">
        <v>0</v>
      </c>
    </row>
    <row r="23" spans="2:3" ht="15" customHeight="1">
      <c r="B23" s="254" t="s">
        <v>59</v>
      </c>
      <c r="C23" s="255">
        <v>0</v>
      </c>
    </row>
    <row r="24" spans="2:3" ht="15" customHeight="1">
      <c r="B24" s="254" t="s">
        <v>59</v>
      </c>
      <c r="C24" s="255">
        <v>0</v>
      </c>
    </row>
    <row r="25" spans="2:3" ht="15" customHeight="1">
      <c r="B25" s="254" t="s">
        <v>59</v>
      </c>
      <c r="C25" s="255">
        <v>0</v>
      </c>
    </row>
    <row r="26" spans="2:3" ht="15" customHeight="1">
      <c r="B26" s="254" t="s">
        <v>59</v>
      </c>
      <c r="C26" s="255">
        <v>0</v>
      </c>
    </row>
    <row r="27" spans="2:3" ht="15" customHeight="1">
      <c r="B27" s="254" t="s">
        <v>59</v>
      </c>
      <c r="C27" s="255">
        <v>0</v>
      </c>
    </row>
    <row r="28" spans="2:3" ht="15" customHeight="1">
      <c r="B28" s="254" t="s">
        <v>59</v>
      </c>
      <c r="C28" s="255">
        <v>0</v>
      </c>
    </row>
    <row r="29" spans="2:3" ht="15" customHeight="1">
      <c r="B29" s="254" t="s">
        <v>59</v>
      </c>
      <c r="C29" s="255">
        <v>0</v>
      </c>
    </row>
    <row r="30" spans="2:3" ht="15" customHeight="1">
      <c r="B30" s="254" t="s">
        <v>59</v>
      </c>
      <c r="C30" s="255">
        <v>0</v>
      </c>
    </row>
    <row r="31" spans="2:3" ht="15" customHeight="1">
      <c r="B31" s="254" t="s">
        <v>59</v>
      </c>
      <c r="C31" s="255">
        <v>0</v>
      </c>
    </row>
    <row r="32" spans="2:3" ht="15.65" customHeight="1">
      <c r="B32" s="254" t="s">
        <v>59</v>
      </c>
      <c r="C32" s="255">
        <v>0</v>
      </c>
    </row>
    <row r="33" spans="2:3" ht="15" customHeight="1">
      <c r="B33" s="107" t="s">
        <v>127</v>
      </c>
      <c r="C33" s="108">
        <f>SUM(C6:C32)</f>
        <v>0</v>
      </c>
    </row>
    <row r="34" spans="2:3"/>
  </sheetData>
  <sheetProtection sheet="1" objects="1" scenarios="1"/>
  <mergeCells count="1">
    <mergeCell ref="B5:C5"/>
  </mergeCells>
  <dataValidations count="2">
    <dataValidation allowBlank="1" showInputMessage="1" showErrorMessage="1" promptTitle="Volledige GREX" prompt="Vul hier zelf alle onderdelen van de GREX in. Let op: vul indien van toepassing ook de inbrengwaarde in._x000a_" sqref="B5:C5" xr:uid="{3C81EC56-6563-48CF-A0B9-296230DABB2A}"/>
    <dataValidation allowBlank="1" showInputMessage="1" showErrorMessage="1" promptTitle="Volledige GREX" prompt="Vul hier zelf alle onderdelen van de GREX in. Let op: vul indien van toepassing ook de inbrengwaarde in." sqref="B6:C33" xr:uid="{52646FE5-937A-448C-B677-3DD0BD8D1F8A}"/>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3" id="{07F9FF05-B16B-423A-A11D-92BB42CAAE07}">
            <xm:f>'Ontwikkelaar - VEX'!$C$27="Grondkosten (simpel)"</xm:f>
            <x14:dxf>
              <font>
                <color theme="0"/>
              </font>
              <fill>
                <patternFill>
                  <fgColor theme="0"/>
                  <bgColor theme="0"/>
                </patternFill>
              </fill>
              <border>
                <left/>
                <right/>
                <top/>
                <bottom/>
                <vertical/>
                <horizontal/>
              </border>
            </x14:dxf>
          </x14:cfRule>
          <xm:sqref>B6:C33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BE51-3FAA-415C-B023-2A6D8F5706FF}">
  <sheetPr codeName="Sheet3">
    <tabColor theme="0" tint="-4.9989318521683403E-2"/>
    <pageSetUpPr fitToPage="1"/>
  </sheetPr>
  <dimension ref="A1:BM68"/>
  <sheetViews>
    <sheetView showGridLines="0" zoomScale="90" zoomScaleNormal="90" workbookViewId="0">
      <pane ySplit="3" topLeftCell="A25" activePane="bottomLeft" state="frozen"/>
      <selection activeCell="A4" sqref="A4"/>
      <selection pane="bottomLeft" activeCell="B67" sqref="B67"/>
    </sheetView>
  </sheetViews>
  <sheetFormatPr defaultColWidth="0" defaultRowHeight="14.5" zeroHeight="1"/>
  <cols>
    <col min="1" max="1" width="2.81640625" customWidth="1"/>
    <col min="2" max="3" width="21.453125" customWidth="1"/>
    <col min="4" max="64" width="13.81640625" customWidth="1"/>
    <col min="65" max="65" width="3.26953125" customWidth="1"/>
    <col min="66" max="16384" width="9.1796875" hidden="1"/>
  </cols>
  <sheetData>
    <row r="1" spans="1:6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row>
    <row r="2" spans="1:65" ht="33"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row>
    <row r="3" spans="1:6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row>
    <row r="4" spans="1:65"/>
    <row r="5" spans="1:65">
      <c r="B5" s="79" t="s">
        <v>128</v>
      </c>
      <c r="C5" s="79"/>
      <c r="D5" s="79">
        <v>0</v>
      </c>
      <c r="E5" s="79">
        <v>1</v>
      </c>
      <c r="F5" s="79">
        <v>2</v>
      </c>
      <c r="G5" s="79">
        <v>3</v>
      </c>
      <c r="H5" s="79">
        <v>4</v>
      </c>
      <c r="I5" s="79">
        <v>5</v>
      </c>
      <c r="J5" s="79">
        <v>6</v>
      </c>
      <c r="K5" s="79">
        <v>7</v>
      </c>
      <c r="L5" s="79">
        <v>8</v>
      </c>
      <c r="M5" s="79">
        <v>9</v>
      </c>
      <c r="N5" s="79">
        <v>10</v>
      </c>
      <c r="O5" s="79">
        <v>11</v>
      </c>
      <c r="P5" s="79">
        <v>12</v>
      </c>
      <c r="Q5" s="79">
        <v>13</v>
      </c>
      <c r="R5" s="79">
        <v>14</v>
      </c>
      <c r="S5" s="79">
        <v>15</v>
      </c>
      <c r="T5" s="79">
        <v>16</v>
      </c>
      <c r="U5" s="79">
        <v>17</v>
      </c>
      <c r="V5" s="79">
        <v>18</v>
      </c>
      <c r="W5" s="79">
        <v>19</v>
      </c>
      <c r="X5" s="79">
        <v>20</v>
      </c>
      <c r="Y5" s="79">
        <v>21</v>
      </c>
      <c r="Z5" s="79">
        <v>22</v>
      </c>
      <c r="AA5" s="79">
        <v>23</v>
      </c>
      <c r="AB5" s="79">
        <v>24</v>
      </c>
      <c r="AC5" s="79">
        <v>25</v>
      </c>
      <c r="AD5" s="79">
        <v>26</v>
      </c>
      <c r="AE5" s="79">
        <v>27</v>
      </c>
      <c r="AF5" s="79">
        <v>28</v>
      </c>
      <c r="AG5" s="79">
        <v>29</v>
      </c>
      <c r="AH5" s="79">
        <v>30</v>
      </c>
      <c r="AI5" s="79">
        <v>31</v>
      </c>
      <c r="AJ5" s="79">
        <v>32</v>
      </c>
      <c r="AK5" s="79">
        <v>33</v>
      </c>
      <c r="AL5" s="79">
        <v>34</v>
      </c>
      <c r="AM5" s="79">
        <v>35</v>
      </c>
      <c r="AN5" s="79">
        <v>36</v>
      </c>
      <c r="AO5" s="79">
        <v>37</v>
      </c>
      <c r="AP5" s="79">
        <v>38</v>
      </c>
      <c r="AQ5" s="79">
        <v>39</v>
      </c>
      <c r="AR5" s="79">
        <v>40</v>
      </c>
      <c r="AS5" s="79">
        <v>41</v>
      </c>
      <c r="AT5" s="79">
        <v>42</v>
      </c>
      <c r="AU5" s="79">
        <v>43</v>
      </c>
      <c r="AV5" s="79">
        <v>44</v>
      </c>
      <c r="AW5" s="79">
        <v>45</v>
      </c>
      <c r="AX5" s="79">
        <v>46</v>
      </c>
      <c r="AY5" s="79">
        <v>47</v>
      </c>
      <c r="AZ5" s="79">
        <v>48</v>
      </c>
      <c r="BA5" s="79">
        <v>49</v>
      </c>
      <c r="BB5" s="79">
        <v>50</v>
      </c>
      <c r="BC5" s="79">
        <v>51</v>
      </c>
      <c r="BD5" s="79">
        <v>52</v>
      </c>
      <c r="BE5" s="79">
        <v>53</v>
      </c>
      <c r="BF5" s="79">
        <v>54</v>
      </c>
      <c r="BG5" s="79">
        <v>55</v>
      </c>
      <c r="BH5" s="79">
        <v>56</v>
      </c>
      <c r="BI5" s="79">
        <v>57</v>
      </c>
      <c r="BJ5" s="79">
        <v>58</v>
      </c>
      <c r="BK5" s="79">
        <v>59</v>
      </c>
      <c r="BL5" s="79">
        <v>60</v>
      </c>
    </row>
    <row r="6" spans="1:65"/>
    <row r="7" spans="1:65">
      <c r="B7" s="78" t="s">
        <v>129</v>
      </c>
      <c r="C7" s="80"/>
      <c r="D7" s="133"/>
      <c r="E7" s="28">
        <v>2025</v>
      </c>
      <c r="F7" s="28">
        <f>E7+1</f>
        <v>2026</v>
      </c>
      <c r="G7" s="28">
        <f t="shared" ref="G7:BK7" si="0">F7+1</f>
        <v>2027</v>
      </c>
      <c r="H7" s="28">
        <f t="shared" si="0"/>
        <v>2028</v>
      </c>
      <c r="I7" s="28">
        <f t="shared" si="0"/>
        <v>2029</v>
      </c>
      <c r="J7" s="28">
        <f t="shared" si="0"/>
        <v>2030</v>
      </c>
      <c r="K7" s="28">
        <f t="shared" si="0"/>
        <v>2031</v>
      </c>
      <c r="L7" s="28">
        <f t="shared" si="0"/>
        <v>2032</v>
      </c>
      <c r="M7" s="28">
        <f t="shared" si="0"/>
        <v>2033</v>
      </c>
      <c r="N7" s="28">
        <f t="shared" si="0"/>
        <v>2034</v>
      </c>
      <c r="O7" s="28">
        <f t="shared" si="0"/>
        <v>2035</v>
      </c>
      <c r="P7" s="28">
        <f t="shared" si="0"/>
        <v>2036</v>
      </c>
      <c r="Q7" s="28">
        <f t="shared" si="0"/>
        <v>2037</v>
      </c>
      <c r="R7" s="28">
        <f t="shared" si="0"/>
        <v>2038</v>
      </c>
      <c r="S7" s="28">
        <f t="shared" si="0"/>
        <v>2039</v>
      </c>
      <c r="T7" s="28">
        <f t="shared" si="0"/>
        <v>2040</v>
      </c>
      <c r="U7" s="28">
        <f t="shared" si="0"/>
        <v>2041</v>
      </c>
      <c r="V7" s="28">
        <f t="shared" si="0"/>
        <v>2042</v>
      </c>
      <c r="W7" s="28">
        <f t="shared" si="0"/>
        <v>2043</v>
      </c>
      <c r="X7" s="28">
        <f t="shared" si="0"/>
        <v>2044</v>
      </c>
      <c r="Y7" s="28">
        <f t="shared" si="0"/>
        <v>2045</v>
      </c>
      <c r="Z7" s="28">
        <f t="shared" si="0"/>
        <v>2046</v>
      </c>
      <c r="AA7" s="28">
        <f t="shared" si="0"/>
        <v>2047</v>
      </c>
      <c r="AB7" s="28">
        <f t="shared" si="0"/>
        <v>2048</v>
      </c>
      <c r="AC7" s="28">
        <f t="shared" si="0"/>
        <v>2049</v>
      </c>
      <c r="AD7" s="28">
        <f t="shared" si="0"/>
        <v>2050</v>
      </c>
      <c r="AE7" s="28">
        <f t="shared" si="0"/>
        <v>2051</v>
      </c>
      <c r="AF7" s="28">
        <f t="shared" si="0"/>
        <v>2052</v>
      </c>
      <c r="AG7" s="28">
        <f t="shared" si="0"/>
        <v>2053</v>
      </c>
      <c r="AH7" s="28">
        <f t="shared" si="0"/>
        <v>2054</v>
      </c>
      <c r="AI7" s="28">
        <f t="shared" si="0"/>
        <v>2055</v>
      </c>
      <c r="AJ7" s="28">
        <f t="shared" si="0"/>
        <v>2056</v>
      </c>
      <c r="AK7" s="28">
        <f t="shared" si="0"/>
        <v>2057</v>
      </c>
      <c r="AL7" s="28">
        <f t="shared" si="0"/>
        <v>2058</v>
      </c>
      <c r="AM7" s="28">
        <f t="shared" si="0"/>
        <v>2059</v>
      </c>
      <c r="AN7" s="28">
        <f t="shared" si="0"/>
        <v>2060</v>
      </c>
      <c r="AO7" s="28">
        <f t="shared" si="0"/>
        <v>2061</v>
      </c>
      <c r="AP7" s="28">
        <f t="shared" si="0"/>
        <v>2062</v>
      </c>
      <c r="AQ7" s="28">
        <f t="shared" si="0"/>
        <v>2063</v>
      </c>
      <c r="AR7" s="28">
        <f t="shared" si="0"/>
        <v>2064</v>
      </c>
      <c r="AS7" s="28">
        <f t="shared" si="0"/>
        <v>2065</v>
      </c>
      <c r="AT7" s="28">
        <f t="shared" si="0"/>
        <v>2066</v>
      </c>
      <c r="AU7" s="28">
        <f t="shared" si="0"/>
        <v>2067</v>
      </c>
      <c r="AV7" s="28">
        <f t="shared" si="0"/>
        <v>2068</v>
      </c>
      <c r="AW7" s="28">
        <f t="shared" si="0"/>
        <v>2069</v>
      </c>
      <c r="AX7" s="28">
        <f t="shared" si="0"/>
        <v>2070</v>
      </c>
      <c r="AY7" s="28">
        <f t="shared" si="0"/>
        <v>2071</v>
      </c>
      <c r="AZ7" s="28">
        <f t="shared" si="0"/>
        <v>2072</v>
      </c>
      <c r="BA7" s="28">
        <f t="shared" si="0"/>
        <v>2073</v>
      </c>
      <c r="BB7" s="28">
        <f t="shared" si="0"/>
        <v>2074</v>
      </c>
      <c r="BC7" s="28">
        <f t="shared" si="0"/>
        <v>2075</v>
      </c>
      <c r="BD7" s="28">
        <f t="shared" si="0"/>
        <v>2076</v>
      </c>
      <c r="BE7" s="28">
        <f t="shared" si="0"/>
        <v>2077</v>
      </c>
      <c r="BF7" s="28">
        <f t="shared" si="0"/>
        <v>2078</v>
      </c>
      <c r="BG7" s="28">
        <f t="shared" si="0"/>
        <v>2079</v>
      </c>
      <c r="BH7" s="28">
        <f t="shared" si="0"/>
        <v>2080</v>
      </c>
      <c r="BI7" s="28">
        <f t="shared" si="0"/>
        <v>2081</v>
      </c>
      <c r="BJ7" s="28">
        <f t="shared" si="0"/>
        <v>2082</v>
      </c>
      <c r="BK7" s="28">
        <f t="shared" si="0"/>
        <v>2083</v>
      </c>
      <c r="BL7" s="71">
        <f>BK7+1</f>
        <v>2084</v>
      </c>
    </row>
    <row r="8" spans="1:65">
      <c r="B8" s="258" t="s">
        <v>130</v>
      </c>
      <c r="C8" s="73"/>
      <c r="D8" s="259"/>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1"/>
    </row>
    <row r="9" spans="1:65" s="128" customFormat="1">
      <c r="B9" s="262" t="s">
        <v>131</v>
      </c>
      <c r="C9" s="263"/>
      <c r="D9" s="264">
        <f>'Woco - Project'!C22</f>
        <v>0</v>
      </c>
      <c r="E9" s="265">
        <f>D9*(1+'Hulpblad - Uitgangspunten'!E19)</f>
        <v>0</v>
      </c>
      <c r="F9" s="265">
        <f>E9*(1+'Hulpblad - Uitgangspunten'!F19)</f>
        <v>0</v>
      </c>
      <c r="G9" s="265">
        <f>F9*(1+'Hulpblad - Uitgangspunten'!G19)</f>
        <v>0</v>
      </c>
      <c r="H9" s="265">
        <f>G9*(1+'Hulpblad - Uitgangspunten'!H19)</f>
        <v>0</v>
      </c>
      <c r="I9" s="265">
        <f>H9*(1+'Hulpblad - Uitgangspunten'!$I$19)</f>
        <v>0</v>
      </c>
      <c r="J9" s="265">
        <f>I9*(1+'Hulpblad - Uitgangspunten'!$I$19)</f>
        <v>0</v>
      </c>
      <c r="K9" s="265">
        <f>J9*(1+'Hulpblad - Uitgangspunten'!$I$19)</f>
        <v>0</v>
      </c>
      <c r="L9" s="265">
        <f>K9*(1+'Hulpblad - Uitgangspunten'!$I$19)</f>
        <v>0</v>
      </c>
      <c r="M9" s="265">
        <f>L9*(1+'Hulpblad - Uitgangspunten'!$I$19)</f>
        <v>0</v>
      </c>
      <c r="N9" s="265">
        <f>M9*(1+'Hulpblad - Uitgangspunten'!$I$19)</f>
        <v>0</v>
      </c>
      <c r="O9" s="265">
        <f>N9*(1+'Hulpblad - Uitgangspunten'!$I$19)</f>
        <v>0</v>
      </c>
      <c r="P9" s="265">
        <f>O9*(1+'Hulpblad - Uitgangspunten'!$I$19)</f>
        <v>0</v>
      </c>
      <c r="Q9" s="265">
        <f>P9*(1+'Hulpblad - Uitgangspunten'!$I$19)</f>
        <v>0</v>
      </c>
      <c r="R9" s="265">
        <f>Q9*(1+'Hulpblad - Uitgangspunten'!$I$19)</f>
        <v>0</v>
      </c>
      <c r="S9" s="265">
        <f>R9*(1+'Hulpblad - Uitgangspunten'!$I$19)</f>
        <v>0</v>
      </c>
      <c r="T9" s="265">
        <f>S9*(1+'Hulpblad - Uitgangspunten'!$I$19)</f>
        <v>0</v>
      </c>
      <c r="U9" s="265">
        <f>T9*(1+'Hulpblad - Uitgangspunten'!$I$19)</f>
        <v>0</v>
      </c>
      <c r="V9" s="265">
        <f>U9*(1+'Hulpblad - Uitgangspunten'!$I$19)</f>
        <v>0</v>
      </c>
      <c r="W9" s="265">
        <f>V9*(1+'Hulpblad - Uitgangspunten'!$I$19)</f>
        <v>0</v>
      </c>
      <c r="X9" s="265">
        <f>W9*(1+'Hulpblad - Uitgangspunten'!$I$19)</f>
        <v>0</v>
      </c>
      <c r="Y9" s="265">
        <f>X9*(1+'Hulpblad - Uitgangspunten'!$I$19)</f>
        <v>0</v>
      </c>
      <c r="Z9" s="265">
        <f>Y9*(1+'Hulpblad - Uitgangspunten'!$I$19)</f>
        <v>0</v>
      </c>
      <c r="AA9" s="265">
        <f>Z9*(1+'Hulpblad - Uitgangspunten'!$I$19)</f>
        <v>0</v>
      </c>
      <c r="AB9" s="265">
        <f>AA9*(1+'Hulpblad - Uitgangspunten'!$I$19)</f>
        <v>0</v>
      </c>
      <c r="AC9" s="265">
        <f>AB9*(1+'Hulpblad - Uitgangspunten'!$I$19)</f>
        <v>0</v>
      </c>
      <c r="AD9" s="265">
        <f>AC9*(1+'Hulpblad - Uitgangspunten'!$I$19)</f>
        <v>0</v>
      </c>
      <c r="AE9" s="265">
        <f>AD9*(1+'Hulpblad - Uitgangspunten'!$I$19)</f>
        <v>0</v>
      </c>
      <c r="AF9" s="265">
        <f>AE9*(1+'Hulpblad - Uitgangspunten'!$I$19)</f>
        <v>0</v>
      </c>
      <c r="AG9" s="265">
        <f>AF9*(1+'Hulpblad - Uitgangspunten'!$I$19)</f>
        <v>0</v>
      </c>
      <c r="AH9" s="265">
        <f>AG9*(1+'Hulpblad - Uitgangspunten'!$I$19)</f>
        <v>0</v>
      </c>
      <c r="AI9" s="265">
        <f>AH9*(1+'Hulpblad - Uitgangspunten'!$I$19)</f>
        <v>0</v>
      </c>
      <c r="AJ9" s="265">
        <f>AI9*(1+'Hulpblad - Uitgangspunten'!$I$19)</f>
        <v>0</v>
      </c>
      <c r="AK9" s="265">
        <f>AJ9*(1+'Hulpblad - Uitgangspunten'!$I$19)</f>
        <v>0</v>
      </c>
      <c r="AL9" s="265">
        <f>AK9*(1+'Hulpblad - Uitgangspunten'!$I$19)</f>
        <v>0</v>
      </c>
      <c r="AM9" s="265">
        <f>AL9*(1+'Hulpblad - Uitgangspunten'!$I$19)</f>
        <v>0</v>
      </c>
      <c r="AN9" s="265">
        <f>AM9*(1+'Hulpblad - Uitgangspunten'!$I$19)</f>
        <v>0</v>
      </c>
      <c r="AO9" s="265">
        <f>AN9*(1+'Hulpblad - Uitgangspunten'!$I$19)</f>
        <v>0</v>
      </c>
      <c r="AP9" s="265">
        <f>AO9*(1+'Hulpblad - Uitgangspunten'!$I$19)</f>
        <v>0</v>
      </c>
      <c r="AQ9" s="265">
        <f>AP9*(1+'Hulpblad - Uitgangspunten'!$I$19)</f>
        <v>0</v>
      </c>
      <c r="AR9" s="265">
        <f>AQ9*(1+'Hulpblad - Uitgangspunten'!$I$19)</f>
        <v>0</v>
      </c>
      <c r="AS9" s="265">
        <f>AR9*(1+'Hulpblad - Uitgangspunten'!$I$19)</f>
        <v>0</v>
      </c>
      <c r="AT9" s="265">
        <f>AS9*(1+'Hulpblad - Uitgangspunten'!$I$19)</f>
        <v>0</v>
      </c>
      <c r="AU9" s="265">
        <f>AT9*(1+'Hulpblad - Uitgangspunten'!$I$19)</f>
        <v>0</v>
      </c>
      <c r="AV9" s="265">
        <f>AU9*(1+'Hulpblad - Uitgangspunten'!$I$19)</f>
        <v>0</v>
      </c>
      <c r="AW9" s="265">
        <f>AV9*(1+'Hulpblad - Uitgangspunten'!$I$19)</f>
        <v>0</v>
      </c>
      <c r="AX9" s="265">
        <f>AW9*(1+'Hulpblad - Uitgangspunten'!$I$19)</f>
        <v>0</v>
      </c>
      <c r="AY9" s="265">
        <f>AX9*(1+'Hulpblad - Uitgangspunten'!$I$19)</f>
        <v>0</v>
      </c>
      <c r="AZ9" s="265">
        <f>AY9*(1+'Hulpblad - Uitgangspunten'!$I$19)</f>
        <v>0</v>
      </c>
      <c r="BA9" s="265">
        <f>AZ9*(1+'Hulpblad - Uitgangspunten'!$I$19)</f>
        <v>0</v>
      </c>
      <c r="BB9" s="265">
        <f>BA9*(1+'Hulpblad - Uitgangspunten'!$I$19)</f>
        <v>0</v>
      </c>
      <c r="BC9" s="265">
        <f>BB9*(1+'Hulpblad - Uitgangspunten'!$I$19)</f>
        <v>0</v>
      </c>
      <c r="BD9" s="265">
        <f>BC9*(1+'Hulpblad - Uitgangspunten'!$I$19)</f>
        <v>0</v>
      </c>
      <c r="BE9" s="265">
        <f>BD9*(1+'Hulpblad - Uitgangspunten'!$I$19)</f>
        <v>0</v>
      </c>
      <c r="BF9" s="265">
        <f>BE9*(1+'Hulpblad - Uitgangspunten'!$I$19)</f>
        <v>0</v>
      </c>
      <c r="BG9" s="265">
        <f>BF9*(1+'Hulpblad - Uitgangspunten'!$I$19)</f>
        <v>0</v>
      </c>
      <c r="BH9" s="265">
        <f>BG9*(1+'Hulpblad - Uitgangspunten'!$I$19)</f>
        <v>0</v>
      </c>
      <c r="BI9" s="265">
        <f>BH9*(1+'Hulpblad - Uitgangspunten'!$I$19)</f>
        <v>0</v>
      </c>
      <c r="BJ9" s="265">
        <f>BI9*(1+'Hulpblad - Uitgangspunten'!$I$19)</f>
        <v>0</v>
      </c>
      <c r="BK9" s="265">
        <f>BJ9*(1+'Hulpblad - Uitgangspunten'!$I$19)</f>
        <v>0</v>
      </c>
      <c r="BL9" s="266">
        <f>BK9*(1+'Hulpblad - Uitgangspunten'!$I$19)</f>
        <v>0</v>
      </c>
    </row>
    <row r="10" spans="1:65" s="128" customFormat="1">
      <c r="B10" s="262" t="s">
        <v>132</v>
      </c>
      <c r="C10" s="263"/>
      <c r="D10" s="264">
        <f>'Woco - Project'!C22</f>
        <v>0</v>
      </c>
      <c r="E10" s="265">
        <f>D10*(1+'Hulpblad - Uitgangspunten'!E20)</f>
        <v>0</v>
      </c>
      <c r="F10" s="265">
        <f>E10*(1+'Hulpblad - Uitgangspunten'!F20)</f>
        <v>0</v>
      </c>
      <c r="G10" s="265">
        <f>F10*(1+'Hulpblad - Uitgangspunten'!G20)</f>
        <v>0</v>
      </c>
      <c r="H10" s="265">
        <f>G10*(1+'Hulpblad - Uitgangspunten'!H20)</f>
        <v>0</v>
      </c>
      <c r="I10" s="265">
        <f>H10*(1+'Hulpblad - Uitgangspunten'!$I$20)</f>
        <v>0</v>
      </c>
      <c r="J10" s="265">
        <f>I10*(1+'Hulpblad - Uitgangspunten'!$I$20)</f>
        <v>0</v>
      </c>
      <c r="K10" s="265">
        <f>J10*(1+'Hulpblad - Uitgangspunten'!$I$20)</f>
        <v>0</v>
      </c>
      <c r="L10" s="265">
        <f>K10*(1+'Hulpblad - Uitgangspunten'!$I$20)</f>
        <v>0</v>
      </c>
      <c r="M10" s="265">
        <f>L10*(1+'Hulpblad - Uitgangspunten'!$I$20)</f>
        <v>0</v>
      </c>
      <c r="N10" s="265">
        <f>M10*(1+'Hulpblad - Uitgangspunten'!$I$20)</f>
        <v>0</v>
      </c>
      <c r="O10" s="265">
        <f>N10*(1+'Hulpblad - Uitgangspunten'!$I$20)</f>
        <v>0</v>
      </c>
      <c r="P10" s="265">
        <f>O10*(1+'Hulpblad - Uitgangspunten'!$I$20)</f>
        <v>0</v>
      </c>
      <c r="Q10" s="265">
        <f>P10*(1+'Hulpblad - Uitgangspunten'!$I$20)</f>
        <v>0</v>
      </c>
      <c r="R10" s="265">
        <f>Q10*(1+'Hulpblad - Uitgangspunten'!$I$20)</f>
        <v>0</v>
      </c>
      <c r="S10" s="265">
        <f>R10*(1+'Hulpblad - Uitgangspunten'!$I$20)</f>
        <v>0</v>
      </c>
      <c r="T10" s="265">
        <f>S10*(1+'Hulpblad - Uitgangspunten'!$I$20)</f>
        <v>0</v>
      </c>
      <c r="U10" s="265">
        <f>T10*(1+'Hulpblad - Uitgangspunten'!$I$20)</f>
        <v>0</v>
      </c>
      <c r="V10" s="265">
        <f>U10*(1+'Hulpblad - Uitgangspunten'!$I$20)</f>
        <v>0</v>
      </c>
      <c r="W10" s="265">
        <f>V10*(1+'Hulpblad - Uitgangspunten'!$I$20)</f>
        <v>0</v>
      </c>
      <c r="X10" s="265">
        <f>W10*(1+'Hulpblad - Uitgangspunten'!$I$20)</f>
        <v>0</v>
      </c>
      <c r="Y10" s="265">
        <f>X10*(1+'Hulpblad - Uitgangspunten'!$I$20)</f>
        <v>0</v>
      </c>
      <c r="Z10" s="265">
        <f>Y10*(1+'Hulpblad - Uitgangspunten'!$I$20)</f>
        <v>0</v>
      </c>
      <c r="AA10" s="265">
        <f>Z10*(1+'Hulpblad - Uitgangspunten'!$I$20)</f>
        <v>0</v>
      </c>
      <c r="AB10" s="265">
        <f>AA10*(1+'Hulpblad - Uitgangspunten'!$I$20)</f>
        <v>0</v>
      </c>
      <c r="AC10" s="265">
        <f>AB10*(1+'Hulpblad - Uitgangspunten'!$I$20)</f>
        <v>0</v>
      </c>
      <c r="AD10" s="265">
        <f>AC10*(1+'Hulpblad - Uitgangspunten'!$I$20)</f>
        <v>0</v>
      </c>
      <c r="AE10" s="265">
        <f>AD10*(1+'Hulpblad - Uitgangspunten'!$I$20)</f>
        <v>0</v>
      </c>
      <c r="AF10" s="265">
        <f>AE10*(1+'Hulpblad - Uitgangspunten'!$I$20)</f>
        <v>0</v>
      </c>
      <c r="AG10" s="265">
        <f>AF10*(1+'Hulpblad - Uitgangspunten'!$I$20)</f>
        <v>0</v>
      </c>
      <c r="AH10" s="265">
        <f>AG10*(1+'Hulpblad - Uitgangspunten'!$I$20)</f>
        <v>0</v>
      </c>
      <c r="AI10" s="265">
        <f>AH10*(1+'Hulpblad - Uitgangspunten'!$I$20)</f>
        <v>0</v>
      </c>
      <c r="AJ10" s="265">
        <f>AI10*(1+'Hulpblad - Uitgangspunten'!$I$20)</f>
        <v>0</v>
      </c>
      <c r="AK10" s="265">
        <f>AJ10*(1+'Hulpblad - Uitgangspunten'!$I$20)</f>
        <v>0</v>
      </c>
      <c r="AL10" s="265">
        <f>AK10*(1+'Hulpblad - Uitgangspunten'!$I$20)</f>
        <v>0</v>
      </c>
      <c r="AM10" s="265">
        <f>AL10*(1+'Hulpblad - Uitgangspunten'!$I$20)</f>
        <v>0</v>
      </c>
      <c r="AN10" s="265">
        <f>AM10*(1+'Hulpblad - Uitgangspunten'!$I$20)</f>
        <v>0</v>
      </c>
      <c r="AO10" s="265">
        <f>AN10*(1+'Hulpblad - Uitgangspunten'!$I$20)</f>
        <v>0</v>
      </c>
      <c r="AP10" s="265">
        <f>AO10*(1+'Hulpblad - Uitgangspunten'!$I$20)</f>
        <v>0</v>
      </c>
      <c r="AQ10" s="265">
        <f>AP10*(1+'Hulpblad - Uitgangspunten'!$I$20)</f>
        <v>0</v>
      </c>
      <c r="AR10" s="265">
        <f>AQ10*(1+'Hulpblad - Uitgangspunten'!$I$20)</f>
        <v>0</v>
      </c>
      <c r="AS10" s="265">
        <f>AR10*(1+'Hulpblad - Uitgangspunten'!$I$20)</f>
        <v>0</v>
      </c>
      <c r="AT10" s="265">
        <f>AS10*(1+'Hulpblad - Uitgangspunten'!$I$20)</f>
        <v>0</v>
      </c>
      <c r="AU10" s="265">
        <f>AT10*(1+'Hulpblad - Uitgangspunten'!$I$20)</f>
        <v>0</v>
      </c>
      <c r="AV10" s="265">
        <f>AU10*(1+'Hulpblad - Uitgangspunten'!$I$20)</f>
        <v>0</v>
      </c>
      <c r="AW10" s="265">
        <f>AV10*(1+'Hulpblad - Uitgangspunten'!$I$20)</f>
        <v>0</v>
      </c>
      <c r="AX10" s="265">
        <f>AW10*(1+'Hulpblad - Uitgangspunten'!$I$20)</f>
        <v>0</v>
      </c>
      <c r="AY10" s="265">
        <f>AX10*(1+'Hulpblad - Uitgangspunten'!$I$20)</f>
        <v>0</v>
      </c>
      <c r="AZ10" s="265">
        <f>AY10*(1+'Hulpblad - Uitgangspunten'!$I$20)</f>
        <v>0</v>
      </c>
      <c r="BA10" s="265">
        <f>AZ10*(1+'Hulpblad - Uitgangspunten'!$I$20)</f>
        <v>0</v>
      </c>
      <c r="BB10" s="265">
        <f>BA10*(1+'Hulpblad - Uitgangspunten'!$I$20)</f>
        <v>0</v>
      </c>
      <c r="BC10" s="265">
        <f>BB10*(1+'Hulpblad - Uitgangspunten'!$I$20)</f>
        <v>0</v>
      </c>
      <c r="BD10" s="265">
        <f>BC10*(1+'Hulpblad - Uitgangspunten'!$I$20)</f>
        <v>0</v>
      </c>
      <c r="BE10" s="265">
        <f>BD10*(1+'Hulpblad - Uitgangspunten'!$I$20)</f>
        <v>0</v>
      </c>
      <c r="BF10" s="265">
        <f>BE10*(1+'Hulpblad - Uitgangspunten'!$I$20)</f>
        <v>0</v>
      </c>
      <c r="BG10" s="265">
        <f>BF10*(1+'Hulpblad - Uitgangspunten'!$I$20)</f>
        <v>0</v>
      </c>
      <c r="BH10" s="265">
        <f>BG10*(1+'Hulpblad - Uitgangspunten'!$I$20)</f>
        <v>0</v>
      </c>
      <c r="BI10" s="265">
        <f>BH10*(1+'Hulpblad - Uitgangspunten'!$I$20)</f>
        <v>0</v>
      </c>
      <c r="BJ10" s="265">
        <f>BI10*(1+'Hulpblad - Uitgangspunten'!$I$20)</f>
        <v>0</v>
      </c>
      <c r="BK10" s="265">
        <f>BJ10*(1+'Hulpblad - Uitgangspunten'!$I$20)</f>
        <v>0</v>
      </c>
      <c r="BL10" s="266">
        <f>BK10*(1+'Hulpblad - Uitgangspunten'!$I$20)</f>
        <v>0</v>
      </c>
    </row>
    <row r="11" spans="1:65" s="128" customFormat="1">
      <c r="B11" s="267" t="s">
        <v>133</v>
      </c>
      <c r="C11" s="263"/>
      <c r="D11" s="264">
        <f>VLOOKUP('Woco - Project'!C17,'Hulpblad - Uitgangspunten'!$B$38:$C$3210,2,FALSE)</f>
        <v>241.44</v>
      </c>
      <c r="E11" s="265">
        <f>D11*(1+'Hulpblad - Uitgangspunten'!D17)</f>
        <v>250.13184000000001</v>
      </c>
      <c r="F11" s="265">
        <f>E11*(1+'Hulpblad - Uitgangspunten'!E17)</f>
        <v>258.13605888000001</v>
      </c>
      <c r="G11" s="265">
        <f>F11*(1+'Hulpblad - Uitgangspunten'!F17)</f>
        <v>265.10573246975997</v>
      </c>
      <c r="H11" s="265">
        <f>G11*(1+'Hulpblad - Uitgangspunten'!G17)</f>
        <v>270.40784711915518</v>
      </c>
      <c r="I11" s="265">
        <f>H11*(1+'Hulpblad - Uitgangspunten'!H17)</f>
        <v>275.81600406153831</v>
      </c>
      <c r="J11" s="265">
        <f>I11*(1+'Hulpblad - Uitgangspunten'!$I$17)</f>
        <v>281.3323241427691</v>
      </c>
      <c r="K11" s="265">
        <f>J11*(1+'Hulpblad - Uitgangspunten'!$I$17)</f>
        <v>286.95897062562449</v>
      </c>
      <c r="L11" s="265">
        <f>K11*(1+'Hulpblad - Uitgangspunten'!$I$17)</f>
        <v>292.69815003813699</v>
      </c>
      <c r="M11" s="265">
        <f>L11*(1+'Hulpblad - Uitgangspunten'!$I$17)</f>
        <v>298.55211303889973</v>
      </c>
      <c r="N11" s="265">
        <f>M11*(1+'Hulpblad - Uitgangspunten'!$I$17)</f>
        <v>304.52315529967774</v>
      </c>
      <c r="O11" s="265">
        <f>N11*(1+'Hulpblad - Uitgangspunten'!$I$17)</f>
        <v>310.61361840567128</v>
      </c>
      <c r="P11" s="265">
        <f>O11*(1+'Hulpblad - Uitgangspunten'!$I$17)</f>
        <v>316.82589077378469</v>
      </c>
      <c r="Q11" s="265">
        <f>P11*(1+'Hulpblad - Uitgangspunten'!$I$17)</f>
        <v>323.16240858926039</v>
      </c>
      <c r="R11" s="265">
        <f>Q11*(1+'Hulpblad - Uitgangspunten'!$I$17)</f>
        <v>329.6256567610456</v>
      </c>
      <c r="S11" s="265">
        <f>R11*(1+'Hulpblad - Uitgangspunten'!$I$17)</f>
        <v>336.21816989626655</v>
      </c>
      <c r="T11" s="265">
        <f>S11*(1+'Hulpblad - Uitgangspunten'!$I$17)</f>
        <v>342.94253329419189</v>
      </c>
      <c r="U11" s="265">
        <f>T11*(1+'Hulpblad - Uitgangspunten'!$I$17)</f>
        <v>349.80138396007573</v>
      </c>
      <c r="V11" s="265">
        <f>U11*(1+'Hulpblad - Uitgangspunten'!$I$17)</f>
        <v>356.79741163927724</v>
      </c>
      <c r="W11" s="265">
        <f>V11*(1+'Hulpblad - Uitgangspunten'!$I$17)</f>
        <v>363.93335987206279</v>
      </c>
      <c r="X11" s="265">
        <f>W11*(1+'Hulpblad - Uitgangspunten'!$I$17)</f>
        <v>371.21202706950407</v>
      </c>
      <c r="Y11" s="265">
        <f>X11*(1+'Hulpblad - Uitgangspunten'!$I$17)</f>
        <v>378.63626761089415</v>
      </c>
      <c r="Z11" s="265">
        <f>Y11*(1+'Hulpblad - Uitgangspunten'!$I$17)</f>
        <v>386.20899296311205</v>
      </c>
      <c r="AA11" s="265">
        <f>Z11*(1+'Hulpblad - Uitgangspunten'!$I$17)</f>
        <v>393.93317282237427</v>
      </c>
      <c r="AB11" s="265">
        <f>AA11*(1+'Hulpblad - Uitgangspunten'!$I$17)</f>
        <v>401.81183627882177</v>
      </c>
      <c r="AC11" s="265">
        <f>AB11*(1+'Hulpblad - Uitgangspunten'!$I$17)</f>
        <v>409.8480730043982</v>
      </c>
      <c r="AD11" s="265">
        <f>AC11*(1+'Hulpblad - Uitgangspunten'!$I$17)</f>
        <v>418.04503446448615</v>
      </c>
      <c r="AE11" s="265">
        <f>AD11*(1+'Hulpblad - Uitgangspunten'!$I$17)</f>
        <v>426.40593515377589</v>
      </c>
      <c r="AF11" s="265">
        <f>AE11*(1+'Hulpblad - Uitgangspunten'!$I$17)</f>
        <v>434.93405385685139</v>
      </c>
      <c r="AG11" s="265">
        <f>AF11*(1+'Hulpblad - Uitgangspunten'!$I$17)</f>
        <v>443.63273493398844</v>
      </c>
      <c r="AH11" s="265">
        <f>AG11*(1+'Hulpblad - Uitgangspunten'!$I$17)</f>
        <v>452.5053896326682</v>
      </c>
      <c r="AI11" s="265">
        <f>AH11*(1+'Hulpblad - Uitgangspunten'!$I$17)</f>
        <v>461.55549742532156</v>
      </c>
      <c r="AJ11" s="265">
        <f>AI11*(1+'Hulpblad - Uitgangspunten'!$I$17)</f>
        <v>470.78660737382802</v>
      </c>
      <c r="AK11" s="265">
        <f>AJ11*(1+'Hulpblad - Uitgangspunten'!$I$17)</f>
        <v>480.20233952130457</v>
      </c>
      <c r="AL11" s="265">
        <f>AK11*(1+'Hulpblad - Uitgangspunten'!$I$17)</f>
        <v>489.80638631173065</v>
      </c>
      <c r="AM11" s="265">
        <f>AL11*(1+'Hulpblad - Uitgangspunten'!$I$17)</f>
        <v>499.60251403796525</v>
      </c>
      <c r="AN11" s="265">
        <f>AM11*(1+'Hulpblad - Uitgangspunten'!$I$17)</f>
        <v>509.59456431872457</v>
      </c>
      <c r="AO11" s="265">
        <f>AN11*(1+'Hulpblad - Uitgangspunten'!$I$17)</f>
        <v>519.78645560509904</v>
      </c>
      <c r="AP11" s="265">
        <f>AO11*(1+'Hulpblad - Uitgangspunten'!$I$17)</f>
        <v>530.18218471720104</v>
      </c>
      <c r="AQ11" s="265">
        <f>AP11*(1+'Hulpblad - Uitgangspunten'!$I$17)</f>
        <v>540.78582841154503</v>
      </c>
      <c r="AR11" s="265">
        <f>AQ11*(1+'Hulpblad - Uitgangspunten'!$I$17)</f>
        <v>551.60154497977589</v>
      </c>
      <c r="AS11" s="265">
        <f>AR11*(1+'Hulpblad - Uitgangspunten'!$I$17)</f>
        <v>562.63357587937139</v>
      </c>
      <c r="AT11" s="265">
        <f>AS11*(1+'Hulpblad - Uitgangspunten'!$I$17)</f>
        <v>573.88624739695888</v>
      </c>
      <c r="AU11" s="265">
        <f>AT11*(1+'Hulpblad - Uitgangspunten'!$I$17)</f>
        <v>585.36397234489812</v>
      </c>
      <c r="AV11" s="265">
        <f>AU11*(1+'Hulpblad - Uitgangspunten'!$I$17)</f>
        <v>597.07125179179604</v>
      </c>
      <c r="AW11" s="265">
        <f>AV11*(1+'Hulpblad - Uitgangspunten'!$I$17)</f>
        <v>609.01267682763194</v>
      </c>
      <c r="AX11" s="265">
        <f>AW11*(1+'Hulpblad - Uitgangspunten'!$I$17)</f>
        <v>621.19293036418458</v>
      </c>
      <c r="AY11" s="265">
        <f>AX11*(1+'Hulpblad - Uitgangspunten'!$I$17)</f>
        <v>633.61678897146828</v>
      </c>
      <c r="AZ11" s="265">
        <f>AY11*(1+'Hulpblad - Uitgangspunten'!$I$17)</f>
        <v>646.28912475089771</v>
      </c>
      <c r="BA11" s="265">
        <f>AZ11*(1+'Hulpblad - Uitgangspunten'!$I$17)</f>
        <v>659.2149072459157</v>
      </c>
      <c r="BB11" s="265">
        <f>BA11*(1+'Hulpblad - Uitgangspunten'!$I$17)</f>
        <v>672.39920539083403</v>
      </c>
      <c r="BC11" s="265">
        <f>BB11*(1+'Hulpblad - Uitgangspunten'!$I$17)</f>
        <v>685.84718949865066</v>
      </c>
      <c r="BD11" s="265">
        <f>BC11*(1+'Hulpblad - Uitgangspunten'!$I$17)</f>
        <v>699.56413328862368</v>
      </c>
      <c r="BE11" s="265">
        <f>BD11*(1+'Hulpblad - Uitgangspunten'!$I$17)</f>
        <v>713.55541595439615</v>
      </c>
      <c r="BF11" s="265">
        <f>BE11*(1+'Hulpblad - Uitgangspunten'!$I$17)</f>
        <v>727.8265242734841</v>
      </c>
      <c r="BG11" s="265">
        <f>BF11*(1+'Hulpblad - Uitgangspunten'!$I$17)</f>
        <v>742.38305475895379</v>
      </c>
      <c r="BH11" s="265">
        <f>BG11*(1+'Hulpblad - Uitgangspunten'!$I$17)</f>
        <v>757.23071585413288</v>
      </c>
      <c r="BI11" s="265">
        <f>BH11*(1+'Hulpblad - Uitgangspunten'!$I$17)</f>
        <v>772.37533017121552</v>
      </c>
      <c r="BJ11" s="265">
        <f>BI11*(1+'Hulpblad - Uitgangspunten'!$I$17)</f>
        <v>787.82283677463988</v>
      </c>
      <c r="BK11" s="265">
        <f>BJ11*(1+'Hulpblad - Uitgangspunten'!$I$17)</f>
        <v>803.57929351013274</v>
      </c>
      <c r="BL11" s="266">
        <f>BK11*(1+'Hulpblad - Uitgangspunten'!$I$17)</f>
        <v>819.65087938033537</v>
      </c>
    </row>
    <row r="12" spans="1:65" s="128" customFormat="1">
      <c r="B12" s="268"/>
      <c r="C12" s="269"/>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1"/>
    </row>
    <row r="13" spans="1:65" s="128" customFormat="1">
      <c r="B13" s="268" t="s">
        <v>134</v>
      </c>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1"/>
    </row>
    <row r="14" spans="1:65">
      <c r="B14" s="262" t="s">
        <v>135</v>
      </c>
      <c r="C14" s="272"/>
      <c r="D14" s="264">
        <f>IF('Woco - Project'!C17&lt;'Hulpblad - Uitgangspunten'!D11,'Woco - Project'!C21,"")</f>
        <v>0</v>
      </c>
      <c r="E14" s="265">
        <f>IFERROR(D14*(1+'Hulpblad - Uitgangspunten'!E19),"")</f>
        <v>0</v>
      </c>
      <c r="F14" s="265">
        <f>IFERROR(E14*(1+'Hulpblad - Uitgangspunten'!F19),"")</f>
        <v>0</v>
      </c>
      <c r="G14" s="265">
        <f>IFERROR(F14*(1+'Hulpblad - Uitgangspunten'!G19),"")</f>
        <v>0</v>
      </c>
      <c r="H14" s="265">
        <f>IFERROR(G14*(1+'Hulpblad - Uitgangspunten'!H19),"")</f>
        <v>0</v>
      </c>
      <c r="I14" s="265">
        <f>IFERROR(H14*(1+'Hulpblad - Uitgangspunten'!$I$19),"")</f>
        <v>0</v>
      </c>
      <c r="J14" s="265">
        <f>IFERROR(I14*(1+'Hulpblad - Uitgangspunten'!$I$19),"")</f>
        <v>0</v>
      </c>
      <c r="K14" s="265">
        <f>IFERROR(J14*(1+'Hulpblad - Uitgangspunten'!$I$19),"")</f>
        <v>0</v>
      </c>
      <c r="L14" s="265">
        <f>IFERROR(K14*(1+'Hulpblad - Uitgangspunten'!$I$19),"")</f>
        <v>0</v>
      </c>
      <c r="M14" s="265">
        <f>IFERROR(L14*(1+'Hulpblad - Uitgangspunten'!$I$19),"")</f>
        <v>0</v>
      </c>
      <c r="N14" s="265">
        <f>IFERROR(M14*(1+'Hulpblad - Uitgangspunten'!$I$19),"")</f>
        <v>0</v>
      </c>
      <c r="O14" s="265">
        <f>IFERROR(N14*(1+'Hulpblad - Uitgangspunten'!$I$19),"")</f>
        <v>0</v>
      </c>
      <c r="P14" s="265">
        <f>IFERROR(O14*(1+'Hulpblad - Uitgangspunten'!$I$19),"")</f>
        <v>0</v>
      </c>
      <c r="Q14" s="265">
        <f>IFERROR(P14*(1+'Hulpblad - Uitgangspunten'!$I$19),"")</f>
        <v>0</v>
      </c>
      <c r="R14" s="265">
        <f>IFERROR(Q14*(1+'Hulpblad - Uitgangspunten'!$I$19),"")</f>
        <v>0</v>
      </c>
      <c r="S14" s="265">
        <f>IFERROR(R14*(1+'Hulpblad - Uitgangspunten'!$I$19),"")</f>
        <v>0</v>
      </c>
      <c r="T14" s="265">
        <f>IFERROR(S14*(1+'Hulpblad - Uitgangspunten'!$I$19),"")</f>
        <v>0</v>
      </c>
      <c r="U14" s="265">
        <f>IFERROR(T14*(1+'Hulpblad - Uitgangspunten'!$I$19),"")</f>
        <v>0</v>
      </c>
      <c r="V14" s="265">
        <f>IFERROR(U14*(1+'Hulpblad - Uitgangspunten'!$I$19),"")</f>
        <v>0</v>
      </c>
      <c r="W14" s="265">
        <f>IFERROR(V14*(1+'Hulpblad - Uitgangspunten'!$I$19),"")</f>
        <v>0</v>
      </c>
      <c r="X14" s="265">
        <f>IFERROR(W14*(1+'Hulpblad - Uitgangspunten'!$I$19),"")</f>
        <v>0</v>
      </c>
      <c r="Y14" s="265">
        <f>IFERROR(X14*(1+'Hulpblad - Uitgangspunten'!$I$19),"")</f>
        <v>0</v>
      </c>
      <c r="Z14" s="265">
        <f>IFERROR(Y14*(1+'Hulpblad - Uitgangspunten'!$I$19),"")</f>
        <v>0</v>
      </c>
      <c r="AA14" s="265">
        <f>IFERROR(Z14*(1+'Hulpblad - Uitgangspunten'!$I$19),"")</f>
        <v>0</v>
      </c>
      <c r="AB14" s="265">
        <f>IFERROR(AA14*(1+'Hulpblad - Uitgangspunten'!$I$19),"")</f>
        <v>0</v>
      </c>
      <c r="AC14" s="265">
        <f>IFERROR(AB14*(1+'Hulpblad - Uitgangspunten'!$I$19),"")</f>
        <v>0</v>
      </c>
      <c r="AD14" s="265">
        <f>IFERROR(AC14*(1+'Hulpblad - Uitgangspunten'!$I$19),"")</f>
        <v>0</v>
      </c>
      <c r="AE14" s="265">
        <f>IFERROR(AD14*(1+'Hulpblad - Uitgangspunten'!$I$19),"")</f>
        <v>0</v>
      </c>
      <c r="AF14" s="265">
        <f>IFERROR(AE14*(1+'Hulpblad - Uitgangspunten'!$I$19),"")</f>
        <v>0</v>
      </c>
      <c r="AG14" s="265">
        <f>IFERROR(AF14*(1+'Hulpblad - Uitgangspunten'!$I$19),"")</f>
        <v>0</v>
      </c>
      <c r="AH14" s="265">
        <f>IFERROR(AG14*(1+'Hulpblad - Uitgangspunten'!$I$19),"")</f>
        <v>0</v>
      </c>
      <c r="AI14" s="265">
        <f>IFERROR(AH14*(1+'Hulpblad - Uitgangspunten'!$I$19),"")</f>
        <v>0</v>
      </c>
      <c r="AJ14" s="265">
        <f>IFERROR(AI14*(1+'Hulpblad - Uitgangspunten'!$I$19),"")</f>
        <v>0</v>
      </c>
      <c r="AK14" s="265">
        <f>IFERROR(AJ14*(1+'Hulpblad - Uitgangspunten'!$I$19),"")</f>
        <v>0</v>
      </c>
      <c r="AL14" s="265">
        <f>IFERROR(AK14*(1+'Hulpblad - Uitgangspunten'!$I$19),"")</f>
        <v>0</v>
      </c>
      <c r="AM14" s="265">
        <f>IFERROR(AL14*(1+'Hulpblad - Uitgangspunten'!$I$19),"")</f>
        <v>0</v>
      </c>
      <c r="AN14" s="265">
        <f>IFERROR(AM14*(1+'Hulpblad - Uitgangspunten'!$I$19),"")</f>
        <v>0</v>
      </c>
      <c r="AO14" s="265">
        <f>IFERROR(AN14*(1+'Hulpblad - Uitgangspunten'!$I$19),"")</f>
        <v>0</v>
      </c>
      <c r="AP14" s="265">
        <f>IFERROR(AO14*(1+'Hulpblad - Uitgangspunten'!$I$19),"")</f>
        <v>0</v>
      </c>
      <c r="AQ14" s="265">
        <f>IFERROR(AP14*(1+'Hulpblad - Uitgangspunten'!$I$19),"")</f>
        <v>0</v>
      </c>
      <c r="AR14" s="265">
        <f>IFERROR(AQ14*(1+'Hulpblad - Uitgangspunten'!$I$19),"")</f>
        <v>0</v>
      </c>
      <c r="AS14" s="265">
        <f>IFERROR(AR14*(1+'Hulpblad - Uitgangspunten'!$I$19),"")</f>
        <v>0</v>
      </c>
      <c r="AT14" s="265">
        <f>IFERROR(AS14*(1+'Hulpblad - Uitgangspunten'!$I$19),"")</f>
        <v>0</v>
      </c>
      <c r="AU14" s="265">
        <f>IFERROR(AT14*(1+'Hulpblad - Uitgangspunten'!$I$19),"")</f>
        <v>0</v>
      </c>
      <c r="AV14" s="265">
        <f>IFERROR(AU14*(1+'Hulpblad - Uitgangspunten'!$I$19),"")</f>
        <v>0</v>
      </c>
      <c r="AW14" s="265">
        <f>IFERROR(AV14*(1+'Hulpblad - Uitgangspunten'!$I$19),"")</f>
        <v>0</v>
      </c>
      <c r="AX14" s="265">
        <f>IFERROR(AW14*(1+'Hulpblad - Uitgangspunten'!$I$19),"")</f>
        <v>0</v>
      </c>
      <c r="AY14" s="265">
        <f>IFERROR(AX14*(1+'Hulpblad - Uitgangspunten'!$I$19),"")</f>
        <v>0</v>
      </c>
      <c r="AZ14" s="265">
        <f>IFERROR(AY14*(1+'Hulpblad - Uitgangspunten'!$I$19),"")</f>
        <v>0</v>
      </c>
      <c r="BA14" s="265">
        <f>IFERROR(AZ14*(1+'Hulpblad - Uitgangspunten'!$I$19),"")</f>
        <v>0</v>
      </c>
      <c r="BB14" s="265">
        <f>IFERROR(BA14*(1+'Hulpblad - Uitgangspunten'!$I$19),"")</f>
        <v>0</v>
      </c>
      <c r="BC14" s="265">
        <f>IFERROR(BB14*(1+'Hulpblad - Uitgangspunten'!$I$19),"")</f>
        <v>0</v>
      </c>
      <c r="BD14" s="265">
        <f>IFERROR(BC14*(1+'Hulpblad - Uitgangspunten'!$I$19),"")</f>
        <v>0</v>
      </c>
      <c r="BE14" s="265">
        <f>IFERROR(BD14*(1+'Hulpblad - Uitgangspunten'!$I$19),"")</f>
        <v>0</v>
      </c>
      <c r="BF14" s="265">
        <f>IFERROR(BE14*(1+'Hulpblad - Uitgangspunten'!$I$19),"")</f>
        <v>0</v>
      </c>
      <c r="BG14" s="265">
        <f>IFERROR(BF14*(1+'Hulpblad - Uitgangspunten'!$I$19),"")</f>
        <v>0</v>
      </c>
      <c r="BH14" s="265">
        <f>IFERROR(BG14*(1+'Hulpblad - Uitgangspunten'!$I$19),"")</f>
        <v>0</v>
      </c>
      <c r="BI14" s="265">
        <f>IFERROR(BH14*(1+'Hulpblad - Uitgangspunten'!$I$19),"")</f>
        <v>0</v>
      </c>
      <c r="BJ14" s="265">
        <f>IFERROR(BI14*(1+'Hulpblad - Uitgangspunten'!$I$19),"")</f>
        <v>0</v>
      </c>
      <c r="BK14" s="265">
        <f>IFERROR(BJ14*(1+'Hulpblad - Uitgangspunten'!$I$19),"")</f>
        <v>0</v>
      </c>
      <c r="BL14" s="266">
        <f>IFERROR(BK14*(1+'Hulpblad - Uitgangspunten'!$I$19),"")</f>
        <v>0</v>
      </c>
    </row>
    <row r="15" spans="1:65">
      <c r="B15" s="17" t="s">
        <v>136</v>
      </c>
      <c r="C15" s="132"/>
      <c r="D15" s="273" t="str">
        <f>IF(AND('Woco - Project'!C17&gt;='Hulpblad - Uitgangspunten'!D11,'Woco - Project'!C17&lt;='Hulpblad - Uitgangspunten'!D12),'Woco - Project'!C21,"")</f>
        <v/>
      </c>
      <c r="E15" s="265" t="str">
        <f>IFERROR(D15*(1+'Hulpblad - Uitgangspunten'!E20),"")</f>
        <v/>
      </c>
      <c r="F15" s="265" t="str">
        <f>IFERROR(E15*(1+'Hulpblad - Uitgangspunten'!F20),"")</f>
        <v/>
      </c>
      <c r="G15" s="265" t="str">
        <f>IFERROR(F15*(1+'Hulpblad - Uitgangspunten'!G20),"")</f>
        <v/>
      </c>
      <c r="H15" s="265" t="str">
        <f>IFERROR(G15*(1+'Hulpblad - Uitgangspunten'!H20),"")</f>
        <v/>
      </c>
      <c r="I15" s="265" t="str">
        <f>IFERROR(H15*(1+'Hulpblad - Uitgangspunten'!$I$20),"")</f>
        <v/>
      </c>
      <c r="J15" s="265" t="str">
        <f>IFERROR(I15*(1+'Hulpblad - Uitgangspunten'!$I$20),"")</f>
        <v/>
      </c>
      <c r="K15" s="265" t="str">
        <f>IFERROR(J15*(1+'Hulpblad - Uitgangspunten'!$I$20),"")</f>
        <v/>
      </c>
      <c r="L15" s="265" t="str">
        <f>IFERROR(K15*(1+'Hulpblad - Uitgangspunten'!$I$20),"")</f>
        <v/>
      </c>
      <c r="M15" s="265" t="str">
        <f>IFERROR(L15*(1+'Hulpblad - Uitgangspunten'!$I$20),"")</f>
        <v/>
      </c>
      <c r="N15" s="265" t="str">
        <f>IFERROR(M15*(1+'Hulpblad - Uitgangspunten'!$I$20),"")</f>
        <v/>
      </c>
      <c r="O15" s="265" t="str">
        <f>IFERROR(N15*(1+'Hulpblad - Uitgangspunten'!$I$20),"")</f>
        <v/>
      </c>
      <c r="P15" s="265" t="str">
        <f>IFERROR(O15*(1+'Hulpblad - Uitgangspunten'!$I$20),"")</f>
        <v/>
      </c>
      <c r="Q15" s="265" t="str">
        <f>IFERROR(P15*(1+'Hulpblad - Uitgangspunten'!$I$20),"")</f>
        <v/>
      </c>
      <c r="R15" s="265" t="str">
        <f>IFERROR(Q15*(1+'Hulpblad - Uitgangspunten'!$I$20),"")</f>
        <v/>
      </c>
      <c r="S15" s="265" t="str">
        <f>IFERROR(R15*(1+'Hulpblad - Uitgangspunten'!$I$20),"")</f>
        <v/>
      </c>
      <c r="T15" s="265" t="str">
        <f>IFERROR(S15*(1+'Hulpblad - Uitgangspunten'!$I$20),"")</f>
        <v/>
      </c>
      <c r="U15" s="265" t="str">
        <f>IFERROR(T15*(1+'Hulpblad - Uitgangspunten'!$I$20),"")</f>
        <v/>
      </c>
      <c r="V15" s="265" t="str">
        <f>IFERROR(U15*(1+'Hulpblad - Uitgangspunten'!$I$20),"")</f>
        <v/>
      </c>
      <c r="W15" s="265" t="str">
        <f>IFERROR(V15*(1+'Hulpblad - Uitgangspunten'!$I$20),"")</f>
        <v/>
      </c>
      <c r="X15" s="265" t="str">
        <f>IFERROR(W15*(1+'Hulpblad - Uitgangspunten'!$I$20),"")</f>
        <v/>
      </c>
      <c r="Y15" s="265" t="str">
        <f>IFERROR(X15*(1+'Hulpblad - Uitgangspunten'!$I$20),"")</f>
        <v/>
      </c>
      <c r="Z15" s="265" t="str">
        <f>IFERROR(Y15*(1+'Hulpblad - Uitgangspunten'!$I$20),"")</f>
        <v/>
      </c>
      <c r="AA15" s="265" t="str">
        <f>IFERROR(Z15*(1+'Hulpblad - Uitgangspunten'!$I$20),"")</f>
        <v/>
      </c>
      <c r="AB15" s="265" t="str">
        <f>IFERROR(AA15*(1+'Hulpblad - Uitgangspunten'!$I$20),"")</f>
        <v/>
      </c>
      <c r="AC15" s="265" t="str">
        <f>IFERROR(AB15*(1+'Hulpblad - Uitgangspunten'!$I$20),"")</f>
        <v/>
      </c>
      <c r="AD15" s="265" t="str">
        <f>IFERROR(AC15*(1+'Hulpblad - Uitgangspunten'!$I$20),"")</f>
        <v/>
      </c>
      <c r="AE15" s="265" t="str">
        <f>IFERROR(AD15*(1+'Hulpblad - Uitgangspunten'!$I$20),"")</f>
        <v/>
      </c>
      <c r="AF15" s="265" t="str">
        <f>IFERROR(AE15*(1+'Hulpblad - Uitgangspunten'!$I$20),"")</f>
        <v/>
      </c>
      <c r="AG15" s="265" t="str">
        <f>IFERROR(AF15*(1+'Hulpblad - Uitgangspunten'!$I$20),"")</f>
        <v/>
      </c>
      <c r="AH15" s="265" t="str">
        <f>IFERROR(AG15*(1+'Hulpblad - Uitgangspunten'!$I$20),"")</f>
        <v/>
      </c>
      <c r="AI15" s="265" t="str">
        <f>IFERROR(AH15*(1+'Hulpblad - Uitgangspunten'!$I$20),"")</f>
        <v/>
      </c>
      <c r="AJ15" s="265" t="str">
        <f>IFERROR(AI15*(1+'Hulpblad - Uitgangspunten'!$I$20),"")</f>
        <v/>
      </c>
      <c r="AK15" s="265" t="str">
        <f>IFERROR(AJ15*(1+'Hulpblad - Uitgangspunten'!$I$20),"")</f>
        <v/>
      </c>
      <c r="AL15" s="265" t="str">
        <f>IFERROR(AK15*(1+'Hulpblad - Uitgangspunten'!$I$20),"")</f>
        <v/>
      </c>
      <c r="AM15" s="265" t="str">
        <f>IFERROR(AL15*(1+'Hulpblad - Uitgangspunten'!$I$20),"")</f>
        <v/>
      </c>
      <c r="AN15" s="265" t="str">
        <f>IFERROR(AM15*(1+'Hulpblad - Uitgangspunten'!$I$20),"")</f>
        <v/>
      </c>
      <c r="AO15" s="265" t="str">
        <f>IFERROR(AN15*(1+'Hulpblad - Uitgangspunten'!$I$20),"")</f>
        <v/>
      </c>
      <c r="AP15" s="265" t="str">
        <f>IFERROR(AO15*(1+'Hulpblad - Uitgangspunten'!$I$20),"")</f>
        <v/>
      </c>
      <c r="AQ15" s="265" t="str">
        <f>IFERROR(AP15*(1+'Hulpblad - Uitgangspunten'!$I$20),"")</f>
        <v/>
      </c>
      <c r="AR15" s="265" t="str">
        <f>IFERROR(AQ15*(1+'Hulpblad - Uitgangspunten'!$I$20),"")</f>
        <v/>
      </c>
      <c r="AS15" s="265" t="str">
        <f>IFERROR(AR15*(1+'Hulpblad - Uitgangspunten'!$I$20),"")</f>
        <v/>
      </c>
      <c r="AT15" s="265" t="str">
        <f>IFERROR(AS15*(1+'Hulpblad - Uitgangspunten'!$I$20),"")</f>
        <v/>
      </c>
      <c r="AU15" s="265" t="str">
        <f>IFERROR(AT15*(1+'Hulpblad - Uitgangspunten'!$I$20),"")</f>
        <v/>
      </c>
      <c r="AV15" s="265" t="str">
        <f>IFERROR(AU15*(1+'Hulpblad - Uitgangspunten'!$I$20),"")</f>
        <v/>
      </c>
      <c r="AW15" s="265" t="str">
        <f>IFERROR(AV15*(1+'Hulpblad - Uitgangspunten'!$I$20),"")</f>
        <v/>
      </c>
      <c r="AX15" s="265" t="str">
        <f>IFERROR(AW15*(1+'Hulpblad - Uitgangspunten'!$I$20),"")</f>
        <v/>
      </c>
      <c r="AY15" s="265" t="str">
        <f>IFERROR(AX15*(1+'Hulpblad - Uitgangspunten'!$I$20),"")</f>
        <v/>
      </c>
      <c r="AZ15" s="265" t="str">
        <f>IFERROR(AY15*(1+'Hulpblad - Uitgangspunten'!$I$20),"")</f>
        <v/>
      </c>
      <c r="BA15" s="265" t="str">
        <f>IFERROR(AZ15*(1+'Hulpblad - Uitgangspunten'!$I$20),"")</f>
        <v/>
      </c>
      <c r="BB15" s="265" t="str">
        <f>IFERROR(BA15*(1+'Hulpblad - Uitgangspunten'!$I$20),"")</f>
        <v/>
      </c>
      <c r="BC15" s="265" t="str">
        <f>IFERROR(BB15*(1+'Hulpblad - Uitgangspunten'!$I$20),"")</f>
        <v/>
      </c>
      <c r="BD15" s="265" t="str">
        <f>IFERROR(BC15*(1+'Hulpblad - Uitgangspunten'!$I$20),"")</f>
        <v/>
      </c>
      <c r="BE15" s="265" t="str">
        <f>IFERROR(BD15*(1+'Hulpblad - Uitgangspunten'!$I$20),"")</f>
        <v/>
      </c>
      <c r="BF15" s="265" t="str">
        <f>IFERROR(BE15*(1+'Hulpblad - Uitgangspunten'!$I$20),"")</f>
        <v/>
      </c>
      <c r="BG15" s="265" t="str">
        <f>IFERROR(BF15*(1+'Hulpblad - Uitgangspunten'!$I$20),"")</f>
        <v/>
      </c>
      <c r="BH15" s="265" t="str">
        <f>IFERROR(BG15*(1+'Hulpblad - Uitgangspunten'!$I$20),"")</f>
        <v/>
      </c>
      <c r="BI15" s="265" t="str">
        <f>IFERROR(BH15*(1+'Hulpblad - Uitgangspunten'!$I$20),"")</f>
        <v/>
      </c>
      <c r="BJ15" s="265" t="str">
        <f>IFERROR(BI15*(1+'Hulpblad - Uitgangspunten'!$I$20),"")</f>
        <v/>
      </c>
      <c r="BK15" s="265" t="str">
        <f>IFERROR(BJ15*(1+'Hulpblad - Uitgangspunten'!$I$20),"")</f>
        <v/>
      </c>
      <c r="BL15" s="266" t="str">
        <f>IFERROR(BK15*(1+'Hulpblad - Uitgangspunten'!$I$20),"")</f>
        <v/>
      </c>
    </row>
    <row r="16" spans="1:65">
      <c r="B16" s="17" t="s">
        <v>137</v>
      </c>
      <c r="C16" s="132"/>
      <c r="D16" s="273" t="str">
        <f>IF('Woco - Project'!C17&gt;'Hulpblad - Uitgangspunten'!D12,'Woco - Project'!C21,"")</f>
        <v/>
      </c>
      <c r="E16" s="265" t="str">
        <f>IFERROR(D16*(1+'Hulpblad - Uitgangspunten'!E21),"")</f>
        <v/>
      </c>
      <c r="F16" s="265" t="str">
        <f>IFERROR(E16*(1+'Hulpblad - Uitgangspunten'!F21),"")</f>
        <v/>
      </c>
      <c r="G16" s="265" t="str">
        <f>IFERROR(F16*(1+'Hulpblad - Uitgangspunten'!G21),"")</f>
        <v/>
      </c>
      <c r="H16" s="265" t="str">
        <f>IFERROR(G16*(1+'Hulpblad - Uitgangspunten'!H21),"")</f>
        <v/>
      </c>
      <c r="I16" s="265" t="str">
        <f>IFERROR(H16*(1+'Hulpblad - Uitgangspunten'!$I$21),"")</f>
        <v/>
      </c>
      <c r="J16" s="265" t="str">
        <f>IFERROR(I16*(1+'Hulpblad - Uitgangspunten'!$I$21),"")</f>
        <v/>
      </c>
      <c r="K16" s="265" t="str">
        <f>IFERROR(J16*(1+'Hulpblad - Uitgangspunten'!$I$21),"")</f>
        <v/>
      </c>
      <c r="L16" s="265" t="str">
        <f>IFERROR(K16*(1+'Hulpblad - Uitgangspunten'!$I$21),"")</f>
        <v/>
      </c>
      <c r="M16" s="265" t="str">
        <f>IFERROR(L16*(1+'Hulpblad - Uitgangspunten'!$I$21),"")</f>
        <v/>
      </c>
      <c r="N16" s="265" t="str">
        <f>IFERROR(M16*(1+'Hulpblad - Uitgangspunten'!$I$21),"")</f>
        <v/>
      </c>
      <c r="O16" s="265" t="str">
        <f>IFERROR(N16*(1+'Hulpblad - Uitgangspunten'!$I$21),"")</f>
        <v/>
      </c>
      <c r="P16" s="265" t="str">
        <f>IFERROR(O16*(1+'Hulpblad - Uitgangspunten'!$I$21),"")</f>
        <v/>
      </c>
      <c r="Q16" s="265" t="str">
        <f>IFERROR(P16*(1+'Hulpblad - Uitgangspunten'!$I$21),"")</f>
        <v/>
      </c>
      <c r="R16" s="265" t="str">
        <f>IFERROR(Q16*(1+'Hulpblad - Uitgangspunten'!$I$21),"")</f>
        <v/>
      </c>
      <c r="S16" s="265" t="str">
        <f>IFERROR(R16*(1+'Hulpblad - Uitgangspunten'!$I$21),"")</f>
        <v/>
      </c>
      <c r="T16" s="265" t="str">
        <f>IFERROR(S16*(1+'Hulpblad - Uitgangspunten'!$I$21),"")</f>
        <v/>
      </c>
      <c r="U16" s="265" t="str">
        <f>IFERROR(T16*(1+'Hulpblad - Uitgangspunten'!$I$21),"")</f>
        <v/>
      </c>
      <c r="V16" s="265" t="str">
        <f>IFERROR(U16*(1+'Hulpblad - Uitgangspunten'!$I$21),"")</f>
        <v/>
      </c>
      <c r="W16" s="265" t="str">
        <f>IFERROR(V16*(1+'Hulpblad - Uitgangspunten'!$I$21),"")</f>
        <v/>
      </c>
      <c r="X16" s="265" t="str">
        <f>IFERROR(W16*(1+'Hulpblad - Uitgangspunten'!$I$21),"")</f>
        <v/>
      </c>
      <c r="Y16" s="265" t="str">
        <f>IFERROR(X16*(1+'Hulpblad - Uitgangspunten'!$I$21),"")</f>
        <v/>
      </c>
      <c r="Z16" s="265" t="str">
        <f>IFERROR(Y16*(1+'Hulpblad - Uitgangspunten'!$I$21),"")</f>
        <v/>
      </c>
      <c r="AA16" s="265" t="str">
        <f>IFERROR(Z16*(1+'Hulpblad - Uitgangspunten'!$I$21),"")</f>
        <v/>
      </c>
      <c r="AB16" s="265" t="str">
        <f>IFERROR(AA16*(1+'Hulpblad - Uitgangspunten'!$I$21),"")</f>
        <v/>
      </c>
      <c r="AC16" s="265" t="str">
        <f>IFERROR(AB16*(1+'Hulpblad - Uitgangspunten'!$I$21),"")</f>
        <v/>
      </c>
      <c r="AD16" s="265" t="str">
        <f>IFERROR(AC16*(1+'Hulpblad - Uitgangspunten'!$I$21),"")</f>
        <v/>
      </c>
      <c r="AE16" s="265" t="str">
        <f>IFERROR(AD16*(1+'Hulpblad - Uitgangspunten'!$I$21),"")</f>
        <v/>
      </c>
      <c r="AF16" s="265" t="str">
        <f>IFERROR(AE16*(1+'Hulpblad - Uitgangspunten'!$I$21),"")</f>
        <v/>
      </c>
      <c r="AG16" s="265" t="str">
        <f>IFERROR(AF16*(1+'Hulpblad - Uitgangspunten'!$I$21),"")</f>
        <v/>
      </c>
      <c r="AH16" s="265" t="str">
        <f>IFERROR(AG16*(1+'Hulpblad - Uitgangspunten'!$I$21),"")</f>
        <v/>
      </c>
      <c r="AI16" s="265" t="str">
        <f>IFERROR(AH16*(1+'Hulpblad - Uitgangspunten'!$I$21),"")</f>
        <v/>
      </c>
      <c r="AJ16" s="265" t="str">
        <f>IFERROR(AI16*(1+'Hulpblad - Uitgangspunten'!$I$21),"")</f>
        <v/>
      </c>
      <c r="AK16" s="265" t="str">
        <f>IFERROR(AJ16*(1+'Hulpblad - Uitgangspunten'!$I$21),"")</f>
        <v/>
      </c>
      <c r="AL16" s="265" t="str">
        <f>IFERROR(AK16*(1+'Hulpblad - Uitgangspunten'!$I$21),"")</f>
        <v/>
      </c>
      <c r="AM16" s="265" t="str">
        <f>IFERROR(AL16*(1+'Hulpblad - Uitgangspunten'!$I$21),"")</f>
        <v/>
      </c>
      <c r="AN16" s="265" t="str">
        <f>IFERROR(AM16*(1+'Hulpblad - Uitgangspunten'!$I$21),"")</f>
        <v/>
      </c>
      <c r="AO16" s="265" t="str">
        <f>IFERROR(AN16*(1+'Hulpblad - Uitgangspunten'!$I$21),"")</f>
        <v/>
      </c>
      <c r="AP16" s="265" t="str">
        <f>IFERROR(AO16*(1+'Hulpblad - Uitgangspunten'!$I$21),"")</f>
        <v/>
      </c>
      <c r="AQ16" s="265" t="str">
        <f>IFERROR(AP16*(1+'Hulpblad - Uitgangspunten'!$I$21),"")</f>
        <v/>
      </c>
      <c r="AR16" s="265" t="str">
        <f>IFERROR(AQ16*(1+'Hulpblad - Uitgangspunten'!$I$21),"")</f>
        <v/>
      </c>
      <c r="AS16" s="265" t="str">
        <f>IFERROR(AR16*(1+'Hulpblad - Uitgangspunten'!$I$21),"")</f>
        <v/>
      </c>
      <c r="AT16" s="265" t="str">
        <f>IFERROR(AS16*(1+'Hulpblad - Uitgangspunten'!$I$21),"")</f>
        <v/>
      </c>
      <c r="AU16" s="265" t="str">
        <f>IFERROR(AT16*(1+'Hulpblad - Uitgangspunten'!$I$21),"")</f>
        <v/>
      </c>
      <c r="AV16" s="265" t="str">
        <f>IFERROR(AU16*(1+'Hulpblad - Uitgangspunten'!$I$21),"")</f>
        <v/>
      </c>
      <c r="AW16" s="265" t="str">
        <f>IFERROR(AV16*(1+'Hulpblad - Uitgangspunten'!$I$21),"")</f>
        <v/>
      </c>
      <c r="AX16" s="265" t="str">
        <f>IFERROR(AW16*(1+'Hulpblad - Uitgangspunten'!$I$21),"")</f>
        <v/>
      </c>
      <c r="AY16" s="265" t="str">
        <f>IFERROR(AX16*(1+'Hulpblad - Uitgangspunten'!$I$21),"")</f>
        <v/>
      </c>
      <c r="AZ16" s="265" t="str">
        <f>IFERROR(AY16*(1+'Hulpblad - Uitgangspunten'!$I$21),"")</f>
        <v/>
      </c>
      <c r="BA16" s="265" t="str">
        <f>IFERROR(AZ16*(1+'Hulpblad - Uitgangspunten'!$I$21),"")</f>
        <v/>
      </c>
      <c r="BB16" s="265" t="str">
        <f>IFERROR(BA16*(1+'Hulpblad - Uitgangspunten'!$I$21),"")</f>
        <v/>
      </c>
      <c r="BC16" s="265" t="str">
        <f>IFERROR(BB16*(1+'Hulpblad - Uitgangspunten'!$I$21),"")</f>
        <v/>
      </c>
      <c r="BD16" s="265" t="str">
        <f>IFERROR(BC16*(1+'Hulpblad - Uitgangspunten'!$I$21),"")</f>
        <v/>
      </c>
      <c r="BE16" s="265" t="str">
        <f>IFERROR(BD16*(1+'Hulpblad - Uitgangspunten'!$I$21),"")</f>
        <v/>
      </c>
      <c r="BF16" s="265" t="str">
        <f>IFERROR(BE16*(1+'Hulpblad - Uitgangspunten'!$I$21),"")</f>
        <v/>
      </c>
      <c r="BG16" s="265" t="str">
        <f>IFERROR(BF16*(1+'Hulpblad - Uitgangspunten'!$I$21),"")</f>
        <v/>
      </c>
      <c r="BH16" s="265" t="str">
        <f>IFERROR(BG16*(1+'Hulpblad - Uitgangspunten'!$I$21),"")</f>
        <v/>
      </c>
      <c r="BI16" s="265" t="str">
        <f>IFERROR(BH16*(1+'Hulpblad - Uitgangspunten'!$I$21),"")</f>
        <v/>
      </c>
      <c r="BJ16" s="265" t="str">
        <f>IFERROR(BI16*(1+'Hulpblad - Uitgangspunten'!$I$21),"")</f>
        <v/>
      </c>
      <c r="BK16" s="265" t="str">
        <f>IFERROR(BJ16*(1+'Hulpblad - Uitgangspunten'!$I$21),"")</f>
        <v/>
      </c>
      <c r="BL16" s="266" t="str">
        <f>IFERROR(BK16*(1+'Hulpblad - Uitgangspunten'!$I$21),"")</f>
        <v/>
      </c>
    </row>
    <row r="17" spans="2:64">
      <c r="B17" s="17"/>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52"/>
    </row>
    <row r="18" spans="2:64">
      <c r="B18" s="274" t="s">
        <v>138</v>
      </c>
      <c r="C18" s="132"/>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6"/>
    </row>
    <row r="19" spans="2:64">
      <c r="B19" s="262" t="s">
        <v>139</v>
      </c>
      <c r="C19" s="132"/>
      <c r="D19" s="264">
        <f>IF('Woco - Project'!C17&lt;'Hulpblad - Uitgangspunten'!D11,MIN(D9,D11),"")</f>
        <v>0</v>
      </c>
      <c r="E19" s="275">
        <f t="shared" ref="E19:AJ19" si="1">IF(D19&lt;&gt;"",MIN(E9,E11),"")</f>
        <v>0</v>
      </c>
      <c r="F19" s="275">
        <f t="shared" si="1"/>
        <v>0</v>
      </c>
      <c r="G19" s="275">
        <f t="shared" si="1"/>
        <v>0</v>
      </c>
      <c r="H19" s="275">
        <f t="shared" si="1"/>
        <v>0</v>
      </c>
      <c r="I19" s="275">
        <f t="shared" si="1"/>
        <v>0</v>
      </c>
      <c r="J19" s="275">
        <f t="shared" si="1"/>
        <v>0</v>
      </c>
      <c r="K19" s="275">
        <f t="shared" si="1"/>
        <v>0</v>
      </c>
      <c r="L19" s="275">
        <f t="shared" si="1"/>
        <v>0</v>
      </c>
      <c r="M19" s="275">
        <f t="shared" si="1"/>
        <v>0</v>
      </c>
      <c r="N19" s="275">
        <f t="shared" si="1"/>
        <v>0</v>
      </c>
      <c r="O19" s="275">
        <f t="shared" si="1"/>
        <v>0</v>
      </c>
      <c r="P19" s="275">
        <f t="shared" si="1"/>
        <v>0</v>
      </c>
      <c r="Q19" s="275">
        <f t="shared" si="1"/>
        <v>0</v>
      </c>
      <c r="R19" s="275">
        <f t="shared" si="1"/>
        <v>0</v>
      </c>
      <c r="S19" s="275">
        <f t="shared" si="1"/>
        <v>0</v>
      </c>
      <c r="T19" s="275">
        <f t="shared" si="1"/>
        <v>0</v>
      </c>
      <c r="U19" s="275">
        <f t="shared" si="1"/>
        <v>0</v>
      </c>
      <c r="V19" s="275">
        <f t="shared" si="1"/>
        <v>0</v>
      </c>
      <c r="W19" s="275">
        <f t="shared" si="1"/>
        <v>0</v>
      </c>
      <c r="X19" s="275">
        <f t="shared" si="1"/>
        <v>0</v>
      </c>
      <c r="Y19" s="275">
        <f t="shared" si="1"/>
        <v>0</v>
      </c>
      <c r="Z19" s="275">
        <f t="shared" si="1"/>
        <v>0</v>
      </c>
      <c r="AA19" s="275">
        <f t="shared" si="1"/>
        <v>0</v>
      </c>
      <c r="AB19" s="275">
        <f t="shared" si="1"/>
        <v>0</v>
      </c>
      <c r="AC19" s="275">
        <f t="shared" si="1"/>
        <v>0</v>
      </c>
      <c r="AD19" s="275">
        <f t="shared" si="1"/>
        <v>0</v>
      </c>
      <c r="AE19" s="275">
        <f t="shared" si="1"/>
        <v>0</v>
      </c>
      <c r="AF19" s="275">
        <f t="shared" si="1"/>
        <v>0</v>
      </c>
      <c r="AG19" s="275">
        <f t="shared" si="1"/>
        <v>0</v>
      </c>
      <c r="AH19" s="275">
        <f t="shared" si="1"/>
        <v>0</v>
      </c>
      <c r="AI19" s="275">
        <f t="shared" si="1"/>
        <v>0</v>
      </c>
      <c r="AJ19" s="275">
        <f t="shared" si="1"/>
        <v>0</v>
      </c>
      <c r="AK19" s="275">
        <f t="shared" ref="AK19:BL19" si="2">IF(AJ19&lt;&gt;"",MIN(AK9,AK11),"")</f>
        <v>0</v>
      </c>
      <c r="AL19" s="275">
        <f t="shared" si="2"/>
        <v>0</v>
      </c>
      <c r="AM19" s="275">
        <f t="shared" si="2"/>
        <v>0</v>
      </c>
      <c r="AN19" s="275">
        <f t="shared" si="2"/>
        <v>0</v>
      </c>
      <c r="AO19" s="275">
        <f t="shared" si="2"/>
        <v>0</v>
      </c>
      <c r="AP19" s="275">
        <f t="shared" si="2"/>
        <v>0</v>
      </c>
      <c r="AQ19" s="275">
        <f t="shared" si="2"/>
        <v>0</v>
      </c>
      <c r="AR19" s="275">
        <f t="shared" si="2"/>
        <v>0</v>
      </c>
      <c r="AS19" s="275">
        <f t="shared" si="2"/>
        <v>0</v>
      </c>
      <c r="AT19" s="275">
        <f t="shared" si="2"/>
        <v>0</v>
      </c>
      <c r="AU19" s="275">
        <f t="shared" si="2"/>
        <v>0</v>
      </c>
      <c r="AV19" s="275">
        <f t="shared" si="2"/>
        <v>0</v>
      </c>
      <c r="AW19" s="275">
        <f t="shared" si="2"/>
        <v>0</v>
      </c>
      <c r="AX19" s="275">
        <f t="shared" si="2"/>
        <v>0</v>
      </c>
      <c r="AY19" s="275">
        <f t="shared" si="2"/>
        <v>0</v>
      </c>
      <c r="AZ19" s="275">
        <f t="shared" si="2"/>
        <v>0</v>
      </c>
      <c r="BA19" s="275">
        <f t="shared" si="2"/>
        <v>0</v>
      </c>
      <c r="BB19" s="275">
        <f t="shared" si="2"/>
        <v>0</v>
      </c>
      <c r="BC19" s="275">
        <f t="shared" si="2"/>
        <v>0</v>
      </c>
      <c r="BD19" s="275">
        <f t="shared" si="2"/>
        <v>0</v>
      </c>
      <c r="BE19" s="275">
        <f t="shared" si="2"/>
        <v>0</v>
      </c>
      <c r="BF19" s="275">
        <f t="shared" si="2"/>
        <v>0</v>
      </c>
      <c r="BG19" s="275">
        <f t="shared" si="2"/>
        <v>0</v>
      </c>
      <c r="BH19" s="275">
        <f t="shared" si="2"/>
        <v>0</v>
      </c>
      <c r="BI19" s="275">
        <f t="shared" si="2"/>
        <v>0</v>
      </c>
      <c r="BJ19" s="275">
        <f t="shared" si="2"/>
        <v>0</v>
      </c>
      <c r="BK19" s="275">
        <f t="shared" si="2"/>
        <v>0</v>
      </c>
      <c r="BL19" s="276">
        <f t="shared" si="2"/>
        <v>0</v>
      </c>
    </row>
    <row r="20" spans="2:64">
      <c r="B20" s="17" t="s">
        <v>140</v>
      </c>
      <c r="C20" s="132"/>
      <c r="D20" s="273" t="str">
        <f>IF(AND('Woco - Project'!C17&gt;='Hulpblad - Uitgangspunten'!D11,'Woco - Project'!C17&lt;='Hulpblad - Uitgangspunten'!D12),MIN(D11,D9),"")</f>
        <v/>
      </c>
      <c r="E20" s="275" t="str">
        <f t="shared" ref="E20:AJ20" si="3">IF(D20&lt;&gt;"",MIN(E10,E11),"")</f>
        <v/>
      </c>
      <c r="F20" s="275" t="str">
        <f t="shared" si="3"/>
        <v/>
      </c>
      <c r="G20" s="275" t="str">
        <f t="shared" si="3"/>
        <v/>
      </c>
      <c r="H20" s="275" t="str">
        <f t="shared" si="3"/>
        <v/>
      </c>
      <c r="I20" s="275" t="str">
        <f t="shared" si="3"/>
        <v/>
      </c>
      <c r="J20" s="275" t="str">
        <f t="shared" si="3"/>
        <v/>
      </c>
      <c r="K20" s="275" t="str">
        <f t="shared" si="3"/>
        <v/>
      </c>
      <c r="L20" s="275" t="str">
        <f t="shared" si="3"/>
        <v/>
      </c>
      <c r="M20" s="275" t="str">
        <f t="shared" si="3"/>
        <v/>
      </c>
      <c r="N20" s="275" t="str">
        <f t="shared" si="3"/>
        <v/>
      </c>
      <c r="O20" s="275" t="str">
        <f t="shared" si="3"/>
        <v/>
      </c>
      <c r="P20" s="275" t="str">
        <f t="shared" si="3"/>
        <v/>
      </c>
      <c r="Q20" s="275" t="str">
        <f t="shared" si="3"/>
        <v/>
      </c>
      <c r="R20" s="275" t="str">
        <f t="shared" si="3"/>
        <v/>
      </c>
      <c r="S20" s="275" t="str">
        <f t="shared" si="3"/>
        <v/>
      </c>
      <c r="T20" s="275" t="str">
        <f t="shared" si="3"/>
        <v/>
      </c>
      <c r="U20" s="275" t="str">
        <f t="shared" si="3"/>
        <v/>
      </c>
      <c r="V20" s="275" t="str">
        <f t="shared" si="3"/>
        <v/>
      </c>
      <c r="W20" s="275" t="str">
        <f t="shared" si="3"/>
        <v/>
      </c>
      <c r="X20" s="275" t="str">
        <f t="shared" si="3"/>
        <v/>
      </c>
      <c r="Y20" s="275" t="str">
        <f t="shared" si="3"/>
        <v/>
      </c>
      <c r="Z20" s="275" t="str">
        <f t="shared" si="3"/>
        <v/>
      </c>
      <c r="AA20" s="275" t="str">
        <f t="shared" si="3"/>
        <v/>
      </c>
      <c r="AB20" s="275" t="str">
        <f t="shared" si="3"/>
        <v/>
      </c>
      <c r="AC20" s="275" t="str">
        <f t="shared" si="3"/>
        <v/>
      </c>
      <c r="AD20" s="275" t="str">
        <f t="shared" si="3"/>
        <v/>
      </c>
      <c r="AE20" s="275" t="str">
        <f t="shared" si="3"/>
        <v/>
      </c>
      <c r="AF20" s="275" t="str">
        <f t="shared" si="3"/>
        <v/>
      </c>
      <c r="AG20" s="275" t="str">
        <f t="shared" si="3"/>
        <v/>
      </c>
      <c r="AH20" s="275" t="str">
        <f t="shared" si="3"/>
        <v/>
      </c>
      <c r="AI20" s="275" t="str">
        <f t="shared" si="3"/>
        <v/>
      </c>
      <c r="AJ20" s="275" t="str">
        <f t="shared" si="3"/>
        <v/>
      </c>
      <c r="AK20" s="275" t="str">
        <f t="shared" ref="AK20:BL20" si="4">IF(AJ20&lt;&gt;"",MIN(AK10,AK11),"")</f>
        <v/>
      </c>
      <c r="AL20" s="275" t="str">
        <f t="shared" si="4"/>
        <v/>
      </c>
      <c r="AM20" s="275" t="str">
        <f t="shared" si="4"/>
        <v/>
      </c>
      <c r="AN20" s="275" t="str">
        <f t="shared" si="4"/>
        <v/>
      </c>
      <c r="AO20" s="275" t="str">
        <f t="shared" si="4"/>
        <v/>
      </c>
      <c r="AP20" s="275" t="str">
        <f t="shared" si="4"/>
        <v/>
      </c>
      <c r="AQ20" s="275" t="str">
        <f t="shared" si="4"/>
        <v/>
      </c>
      <c r="AR20" s="275" t="str">
        <f t="shared" si="4"/>
        <v/>
      </c>
      <c r="AS20" s="275" t="str">
        <f t="shared" si="4"/>
        <v/>
      </c>
      <c r="AT20" s="275" t="str">
        <f t="shared" si="4"/>
        <v/>
      </c>
      <c r="AU20" s="275" t="str">
        <f t="shared" si="4"/>
        <v/>
      </c>
      <c r="AV20" s="275" t="str">
        <f t="shared" si="4"/>
        <v/>
      </c>
      <c r="AW20" s="275" t="str">
        <f t="shared" si="4"/>
        <v/>
      </c>
      <c r="AX20" s="275" t="str">
        <f t="shared" si="4"/>
        <v/>
      </c>
      <c r="AY20" s="275" t="str">
        <f t="shared" si="4"/>
        <v/>
      </c>
      <c r="AZ20" s="275" t="str">
        <f t="shared" si="4"/>
        <v/>
      </c>
      <c r="BA20" s="275" t="str">
        <f t="shared" si="4"/>
        <v/>
      </c>
      <c r="BB20" s="275" t="str">
        <f t="shared" si="4"/>
        <v/>
      </c>
      <c r="BC20" s="275" t="str">
        <f t="shared" si="4"/>
        <v/>
      </c>
      <c r="BD20" s="275" t="str">
        <f t="shared" si="4"/>
        <v/>
      </c>
      <c r="BE20" s="275" t="str">
        <f t="shared" si="4"/>
        <v/>
      </c>
      <c r="BF20" s="275" t="str">
        <f t="shared" si="4"/>
        <v/>
      </c>
      <c r="BG20" s="275" t="str">
        <f t="shared" si="4"/>
        <v/>
      </c>
      <c r="BH20" s="275" t="str">
        <f t="shared" si="4"/>
        <v/>
      </c>
      <c r="BI20" s="275" t="str">
        <f t="shared" si="4"/>
        <v/>
      </c>
      <c r="BJ20" s="275" t="str">
        <f t="shared" si="4"/>
        <v/>
      </c>
      <c r="BK20" s="275" t="str">
        <f t="shared" si="4"/>
        <v/>
      </c>
      <c r="BL20" s="276" t="str">
        <f t="shared" si="4"/>
        <v/>
      </c>
    </row>
    <row r="21" spans="2:64">
      <c r="B21" s="17" t="s">
        <v>137</v>
      </c>
      <c r="C21" s="132"/>
      <c r="D21" s="273" t="str">
        <f>IF('Woco - Project'!C17&gt;'Hulpblad - Uitgangspunten'!D12,'Woco - Project'!C22,"")</f>
        <v/>
      </c>
      <c r="E21" s="275" t="str">
        <f>IFERROR(D21*(1+'Hulpblad - Uitgangspunten'!E21),"")</f>
        <v/>
      </c>
      <c r="F21" s="275" t="str">
        <f>IFERROR(E21*(1+'Hulpblad - Uitgangspunten'!F21),"")</f>
        <v/>
      </c>
      <c r="G21" s="275" t="str">
        <f>IFERROR(F21*(1+'Hulpblad - Uitgangspunten'!G21),"")</f>
        <v/>
      </c>
      <c r="H21" s="275" t="str">
        <f>IFERROR(G21*(1+'Hulpblad - Uitgangspunten'!H21),"")</f>
        <v/>
      </c>
      <c r="I21" s="275" t="str">
        <f>IFERROR(H21*(1+'Hulpblad - Uitgangspunten'!$I$21),"")</f>
        <v/>
      </c>
      <c r="J21" s="275" t="str">
        <f>IFERROR(I21*(1+'Hulpblad - Uitgangspunten'!$I$21),"")</f>
        <v/>
      </c>
      <c r="K21" s="275" t="str">
        <f>IFERROR(J21*(1+'Hulpblad - Uitgangspunten'!$I$21),"")</f>
        <v/>
      </c>
      <c r="L21" s="275" t="str">
        <f>IFERROR(K21*(1+'Hulpblad - Uitgangspunten'!$I$21),"")</f>
        <v/>
      </c>
      <c r="M21" s="275" t="str">
        <f>IFERROR(L21*(1+'Hulpblad - Uitgangspunten'!$I$21),"")</f>
        <v/>
      </c>
      <c r="N21" s="275" t="str">
        <f>IFERROR(M21*(1+'Hulpblad - Uitgangspunten'!$I$21),"")</f>
        <v/>
      </c>
      <c r="O21" s="275" t="str">
        <f>IFERROR(N21*(1+'Hulpblad - Uitgangspunten'!$I$21),"")</f>
        <v/>
      </c>
      <c r="P21" s="275" t="str">
        <f>IFERROR(O21*(1+'Hulpblad - Uitgangspunten'!$I$21),"")</f>
        <v/>
      </c>
      <c r="Q21" s="275" t="str">
        <f>IFERROR(P21*(1+'Hulpblad - Uitgangspunten'!$I$21),"")</f>
        <v/>
      </c>
      <c r="R21" s="275" t="str">
        <f>IFERROR(Q21*(1+'Hulpblad - Uitgangspunten'!$I$21),"")</f>
        <v/>
      </c>
      <c r="S21" s="275" t="str">
        <f>IFERROR(R21*(1+'Hulpblad - Uitgangspunten'!$I$21),"")</f>
        <v/>
      </c>
      <c r="T21" s="275" t="str">
        <f>IFERROR(S21*(1+'Hulpblad - Uitgangspunten'!$I$21),"")</f>
        <v/>
      </c>
      <c r="U21" s="275" t="str">
        <f>IFERROR(T21*(1+'Hulpblad - Uitgangspunten'!$I$21),"")</f>
        <v/>
      </c>
      <c r="V21" s="275" t="str">
        <f>IFERROR(U21*(1+'Hulpblad - Uitgangspunten'!$I$21),"")</f>
        <v/>
      </c>
      <c r="W21" s="275" t="str">
        <f>IFERROR(V21*(1+'Hulpblad - Uitgangspunten'!$I$21),"")</f>
        <v/>
      </c>
      <c r="X21" s="275" t="str">
        <f>IFERROR(W21*(1+'Hulpblad - Uitgangspunten'!$I$21),"")</f>
        <v/>
      </c>
      <c r="Y21" s="275" t="str">
        <f>IFERROR(X21*(1+'Hulpblad - Uitgangspunten'!$I$21),"")</f>
        <v/>
      </c>
      <c r="Z21" s="275" t="str">
        <f>IFERROR(Y21*(1+'Hulpblad - Uitgangspunten'!$I$21),"")</f>
        <v/>
      </c>
      <c r="AA21" s="275" t="str">
        <f>IFERROR(Z21*(1+'Hulpblad - Uitgangspunten'!$I$21),"")</f>
        <v/>
      </c>
      <c r="AB21" s="275" t="str">
        <f>IFERROR(AA21*(1+'Hulpblad - Uitgangspunten'!$I$21),"")</f>
        <v/>
      </c>
      <c r="AC21" s="275" t="str">
        <f>IFERROR(AB21*(1+'Hulpblad - Uitgangspunten'!$I$21),"")</f>
        <v/>
      </c>
      <c r="AD21" s="275" t="str">
        <f>IFERROR(AC21*(1+'Hulpblad - Uitgangspunten'!$I$21),"")</f>
        <v/>
      </c>
      <c r="AE21" s="275" t="str">
        <f>IFERROR(AD21*(1+'Hulpblad - Uitgangspunten'!$I$21),"")</f>
        <v/>
      </c>
      <c r="AF21" s="275" t="str">
        <f>IFERROR(AE21*(1+'Hulpblad - Uitgangspunten'!$I$21),"")</f>
        <v/>
      </c>
      <c r="AG21" s="275" t="str">
        <f>IFERROR(AF21*(1+'Hulpblad - Uitgangspunten'!$I$21),"")</f>
        <v/>
      </c>
      <c r="AH21" s="275" t="str">
        <f>IFERROR(AG21*(1+'Hulpblad - Uitgangspunten'!$I$21),"")</f>
        <v/>
      </c>
      <c r="AI21" s="275" t="str">
        <f>IFERROR(AH21*(1+'Hulpblad - Uitgangspunten'!$I$21),"")</f>
        <v/>
      </c>
      <c r="AJ21" s="275" t="str">
        <f>IFERROR(AI21*(1+'Hulpblad - Uitgangspunten'!$I$21),"")</f>
        <v/>
      </c>
      <c r="AK21" s="275" t="str">
        <f>IFERROR(AJ21*(1+'Hulpblad - Uitgangspunten'!$I$21),"")</f>
        <v/>
      </c>
      <c r="AL21" s="275" t="str">
        <f>IFERROR(AK21*(1+'Hulpblad - Uitgangspunten'!$I$21),"")</f>
        <v/>
      </c>
      <c r="AM21" s="275" t="str">
        <f>IFERROR(AL21*(1+'Hulpblad - Uitgangspunten'!$I$21),"")</f>
        <v/>
      </c>
      <c r="AN21" s="275" t="str">
        <f>IFERROR(AM21*(1+'Hulpblad - Uitgangspunten'!$I$21),"")</f>
        <v/>
      </c>
      <c r="AO21" s="275" t="str">
        <f>IFERROR(AN21*(1+'Hulpblad - Uitgangspunten'!$I$21),"")</f>
        <v/>
      </c>
      <c r="AP21" s="275" t="str">
        <f>IFERROR(AO21*(1+'Hulpblad - Uitgangspunten'!$I$21),"")</f>
        <v/>
      </c>
      <c r="AQ21" s="275" t="str">
        <f>IFERROR(AP21*(1+'Hulpblad - Uitgangspunten'!$I$21),"")</f>
        <v/>
      </c>
      <c r="AR21" s="275" t="str">
        <f>IFERROR(AQ21*(1+'Hulpblad - Uitgangspunten'!$I$21),"")</f>
        <v/>
      </c>
      <c r="AS21" s="275" t="str">
        <f>IFERROR(AR21*(1+'Hulpblad - Uitgangspunten'!$I$21),"")</f>
        <v/>
      </c>
      <c r="AT21" s="275" t="str">
        <f>IFERROR(AS21*(1+'Hulpblad - Uitgangspunten'!$I$21),"")</f>
        <v/>
      </c>
      <c r="AU21" s="275" t="str">
        <f>IFERROR(AT21*(1+'Hulpblad - Uitgangspunten'!$I$21),"")</f>
        <v/>
      </c>
      <c r="AV21" s="275" t="str">
        <f>IFERROR(AU21*(1+'Hulpblad - Uitgangspunten'!$I$21),"")</f>
        <v/>
      </c>
      <c r="AW21" s="275" t="str">
        <f>IFERROR(AV21*(1+'Hulpblad - Uitgangspunten'!$I$21),"")</f>
        <v/>
      </c>
      <c r="AX21" s="275" t="str">
        <f>IFERROR(AW21*(1+'Hulpblad - Uitgangspunten'!$I$21),"")</f>
        <v/>
      </c>
      <c r="AY21" s="275" t="str">
        <f>IFERROR(AX21*(1+'Hulpblad - Uitgangspunten'!$I$21),"")</f>
        <v/>
      </c>
      <c r="AZ21" s="275" t="str">
        <f>IFERROR(AY21*(1+'Hulpblad - Uitgangspunten'!$I$21),"")</f>
        <v/>
      </c>
      <c r="BA21" s="275" t="str">
        <f>IFERROR(AZ21*(1+'Hulpblad - Uitgangspunten'!$I$21),"")</f>
        <v/>
      </c>
      <c r="BB21" s="275" t="str">
        <f>IFERROR(BA21*(1+'Hulpblad - Uitgangspunten'!$I$21),"")</f>
        <v/>
      </c>
      <c r="BC21" s="275" t="str">
        <f>IFERROR(BB21*(1+'Hulpblad - Uitgangspunten'!$I$21),"")</f>
        <v/>
      </c>
      <c r="BD21" s="275" t="str">
        <f>IFERROR(BC21*(1+'Hulpblad - Uitgangspunten'!$I$21),"")</f>
        <v/>
      </c>
      <c r="BE21" s="275" t="str">
        <f>IFERROR(BD21*(1+'Hulpblad - Uitgangspunten'!$I$21),"")</f>
        <v/>
      </c>
      <c r="BF21" s="275" t="str">
        <f>IFERROR(BE21*(1+'Hulpblad - Uitgangspunten'!$I$21),"")</f>
        <v/>
      </c>
      <c r="BG21" s="275" t="str">
        <f>IFERROR(BF21*(1+'Hulpblad - Uitgangspunten'!$I$21),"")</f>
        <v/>
      </c>
      <c r="BH21" s="275" t="str">
        <f>IFERROR(BG21*(1+'Hulpblad - Uitgangspunten'!$I$21),"")</f>
        <v/>
      </c>
      <c r="BI21" s="275" t="str">
        <f>IFERROR(BH21*(1+'Hulpblad - Uitgangspunten'!$I$21),"")</f>
        <v/>
      </c>
      <c r="BJ21" s="275" t="str">
        <f>IFERROR(BI21*(1+'Hulpblad - Uitgangspunten'!$I$21),"")</f>
        <v/>
      </c>
      <c r="BK21" s="275" t="str">
        <f>IFERROR(BJ21*(1+'Hulpblad - Uitgangspunten'!$I$21),"")</f>
        <v/>
      </c>
      <c r="BL21" s="276" t="str">
        <f>IFERROR(BK21*(1+'Hulpblad - Uitgangspunten'!$I$21),"")</f>
        <v/>
      </c>
    </row>
    <row r="22" spans="2:64">
      <c r="B22" s="17"/>
      <c r="C22" s="132"/>
      <c r="D22" s="273"/>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6"/>
    </row>
    <row r="23" spans="2:64">
      <c r="B23" s="268" t="s">
        <v>141</v>
      </c>
      <c r="C23" s="132"/>
      <c r="D23" s="273"/>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6"/>
    </row>
    <row r="24" spans="2:64">
      <c r="B24" s="277" t="s">
        <v>142</v>
      </c>
      <c r="C24" s="132"/>
      <c r="D24" s="278">
        <f>'Woco - Project'!C11</f>
        <v>1</v>
      </c>
      <c r="E24" s="279">
        <f>D24*(1-'Hulpblad - Uitgangspunten'!$D$9)</f>
        <v>0.95</v>
      </c>
      <c r="F24" s="279">
        <f>E24*(1-'Hulpblad - Uitgangspunten'!$D$9)</f>
        <v>0.90249999999999997</v>
      </c>
      <c r="G24" s="279">
        <f>F24*(1-'Hulpblad - Uitgangspunten'!$D$9)</f>
        <v>0.85737499999999989</v>
      </c>
      <c r="H24" s="279">
        <f>G24*(1-'Hulpblad - Uitgangspunten'!$D$9)</f>
        <v>0.81450624999999988</v>
      </c>
      <c r="I24" s="279">
        <f>H24*(1-'Hulpblad - Uitgangspunten'!$D$9)</f>
        <v>0.77378093749999988</v>
      </c>
      <c r="J24" s="279">
        <f>I24*(1-'Hulpblad - Uitgangspunten'!$D$9)</f>
        <v>0.7350918906249998</v>
      </c>
      <c r="K24" s="279">
        <f>J24*(1-'Hulpblad - Uitgangspunten'!$D$9)</f>
        <v>0.69833729609374973</v>
      </c>
      <c r="L24" s="279">
        <f>K24*(1-'Hulpblad - Uitgangspunten'!$D$9)</f>
        <v>0.66342043128906225</v>
      </c>
      <c r="M24" s="279">
        <f>L24*(1-'Hulpblad - Uitgangspunten'!$D$9)</f>
        <v>0.63024940972460908</v>
      </c>
      <c r="N24" s="279">
        <f>M24*(1-'Hulpblad - Uitgangspunten'!$D$9)</f>
        <v>0.59873693923837856</v>
      </c>
      <c r="O24" s="279">
        <f>N24*(1-'Hulpblad - Uitgangspunten'!$D$9)</f>
        <v>0.56880009227645956</v>
      </c>
      <c r="P24" s="279">
        <f>O24*(1-'Hulpblad - Uitgangspunten'!$D$9)</f>
        <v>0.54036008766263655</v>
      </c>
      <c r="Q24" s="279">
        <f>P24*(1-'Hulpblad - Uitgangspunten'!$D$9)</f>
        <v>0.5133420832795047</v>
      </c>
      <c r="R24" s="279">
        <f>Q24*(1-'Hulpblad - Uitgangspunten'!$D$9)</f>
        <v>0.48767497911552943</v>
      </c>
      <c r="S24" s="279">
        <f>R24*(1-'Hulpblad - Uitgangspunten'!$D$9)</f>
        <v>0.46329123015975293</v>
      </c>
      <c r="T24" s="279">
        <f>S24*(1-'Hulpblad - Uitgangspunten'!$D$9)</f>
        <v>0.44012666865176525</v>
      </c>
      <c r="U24" s="279">
        <f>T24*(1-'Hulpblad - Uitgangspunten'!$D$9)</f>
        <v>0.41812033521917696</v>
      </c>
      <c r="V24" s="279">
        <f>U24*(1-'Hulpblad - Uitgangspunten'!$D$9)</f>
        <v>0.39721431845821809</v>
      </c>
      <c r="W24" s="279">
        <f>V24*(1-'Hulpblad - Uitgangspunten'!$D$9)</f>
        <v>0.37735360253530714</v>
      </c>
      <c r="X24" s="279">
        <f>W24*(1-'Hulpblad - Uitgangspunten'!$D$9)</f>
        <v>0.35848592240854177</v>
      </c>
      <c r="Y24" s="279">
        <f>X24*(1-'Hulpblad - Uitgangspunten'!$D$9)</f>
        <v>0.34056162628811465</v>
      </c>
      <c r="Z24" s="279">
        <f>Y24*(1-'Hulpblad - Uitgangspunten'!$D$9)</f>
        <v>0.3235335449737089</v>
      </c>
      <c r="AA24" s="279">
        <f>Z24*(1-'Hulpblad - Uitgangspunten'!$D$9)</f>
        <v>0.30735686772502346</v>
      </c>
      <c r="AB24" s="279">
        <f>AA24*(1-'Hulpblad - Uitgangspunten'!$D$9)</f>
        <v>0.29198902433877227</v>
      </c>
      <c r="AC24" s="279">
        <f>AB24*(1-'Hulpblad - Uitgangspunten'!$D$9)</f>
        <v>0.27738957312183365</v>
      </c>
      <c r="AD24" s="279">
        <f>AC24*(1-'Hulpblad - Uitgangspunten'!$D$9)</f>
        <v>0.26352009446574198</v>
      </c>
      <c r="AE24" s="279">
        <f>AD24*(1-'Hulpblad - Uitgangspunten'!$D$9)</f>
        <v>0.25034408974245487</v>
      </c>
      <c r="AF24" s="279">
        <f>AE24*(1-'Hulpblad - Uitgangspunten'!$D$9)</f>
        <v>0.2378268852553321</v>
      </c>
      <c r="AG24" s="279">
        <f>AF24*(1-'Hulpblad - Uitgangspunten'!$D$9)</f>
        <v>0.22593554099256549</v>
      </c>
      <c r="AH24" s="279">
        <f>AG24*(1-'Hulpblad - Uitgangspunten'!$D$9)</f>
        <v>0.21463876394293721</v>
      </c>
      <c r="AI24" s="279">
        <f>AH24*(1-'Hulpblad - Uitgangspunten'!$D$9)</f>
        <v>0.20390682574579033</v>
      </c>
      <c r="AJ24" s="279">
        <f>AI24*(1-'Hulpblad - Uitgangspunten'!$D$9)</f>
        <v>0.19371148445850081</v>
      </c>
      <c r="AK24" s="279">
        <f>AJ24*(1-'Hulpblad - Uitgangspunten'!$D$9)</f>
        <v>0.18402591023557577</v>
      </c>
      <c r="AL24" s="279">
        <f>AK24*(1-'Hulpblad - Uitgangspunten'!$D$9)</f>
        <v>0.17482461472379698</v>
      </c>
      <c r="AM24" s="279">
        <f>AL24*(1-'Hulpblad - Uitgangspunten'!$D$9)</f>
        <v>0.16608338398760714</v>
      </c>
      <c r="AN24" s="279">
        <f>AM24*(1-'Hulpblad - Uitgangspunten'!$D$9)</f>
        <v>0.15777921478822676</v>
      </c>
      <c r="AO24" s="279">
        <f>AN24*(1-'Hulpblad - Uitgangspunten'!$D$9)</f>
        <v>0.14989025404881542</v>
      </c>
      <c r="AP24" s="279">
        <f>AO24*(1-'Hulpblad - Uitgangspunten'!$D$9)</f>
        <v>0.14239574134637464</v>
      </c>
      <c r="AQ24" s="279">
        <f>AP24*(1-'Hulpblad - Uitgangspunten'!$D$9)</f>
        <v>0.13527595427905589</v>
      </c>
      <c r="AR24" s="279">
        <f>AQ24*(1-'Hulpblad - Uitgangspunten'!$D$9)</f>
        <v>0.12851215656510309</v>
      </c>
      <c r="AS24" s="279">
        <f>AR24*(1-'Hulpblad - Uitgangspunten'!$D$9)</f>
        <v>0.12208654873684793</v>
      </c>
      <c r="AT24" s="279">
        <f>AS24*(1-'Hulpblad - Uitgangspunten'!$D$9)</f>
        <v>0.11598222130000553</v>
      </c>
      <c r="AU24" s="279">
        <f>AT24*(1-'Hulpblad - Uitgangspunten'!$D$9)</f>
        <v>0.11018311023500525</v>
      </c>
      <c r="AV24" s="279">
        <f>AU24*(1-'Hulpblad - Uitgangspunten'!$D$9)</f>
        <v>0.10467395472325498</v>
      </c>
      <c r="AW24" s="279">
        <f>AV24*(1-'Hulpblad - Uitgangspunten'!$D$9)</f>
        <v>9.9440256987092232E-2</v>
      </c>
      <c r="AX24" s="279">
        <f>AW24*(1-'Hulpblad - Uitgangspunten'!$D$9)</f>
        <v>9.446824413773762E-2</v>
      </c>
      <c r="AY24" s="279">
        <f>AX24*(1-'Hulpblad - Uitgangspunten'!$D$9)</f>
        <v>8.9744831930850741E-2</v>
      </c>
      <c r="AZ24" s="279">
        <f>AY24*(1-'Hulpblad - Uitgangspunten'!$D$9)</f>
        <v>8.52575903343082E-2</v>
      </c>
      <c r="BA24" s="279">
        <f>AZ24*(1-'Hulpblad - Uitgangspunten'!$D$9)</f>
        <v>8.0994710817592783E-2</v>
      </c>
      <c r="BB24" s="279">
        <f>BA24*(1-'Hulpblad - Uitgangspunten'!$D$9)</f>
        <v>7.6944975276713137E-2</v>
      </c>
      <c r="BC24" s="279">
        <f>BB24*(1-'Hulpblad - Uitgangspunten'!$D$9)</f>
        <v>7.3097726512877478E-2</v>
      </c>
      <c r="BD24" s="279">
        <f>BC24*(1-'Hulpblad - Uitgangspunten'!$D$9)</f>
        <v>6.9442840187233595E-2</v>
      </c>
      <c r="BE24" s="279">
        <f>BD24*(1-'Hulpblad - Uitgangspunten'!$D$9)</f>
        <v>6.5970698177871906E-2</v>
      </c>
      <c r="BF24" s="279">
        <f>BE24*(1-'Hulpblad - Uitgangspunten'!$D$9)</f>
        <v>6.2672163268978301E-2</v>
      </c>
      <c r="BG24" s="279">
        <f>BF24*(1-'Hulpblad - Uitgangspunten'!$D$9)</f>
        <v>5.9538555105529384E-2</v>
      </c>
      <c r="BH24" s="279">
        <f>BG24*(1-'Hulpblad - Uitgangspunten'!$D$9)</f>
        <v>5.6561627350252913E-2</v>
      </c>
      <c r="BI24" s="279">
        <f>BH24*(1-'Hulpblad - Uitgangspunten'!$D$9)</f>
        <v>5.3733545982740265E-2</v>
      </c>
      <c r="BJ24" s="279">
        <f>BI24*(1-'Hulpblad - Uitgangspunten'!$D$9)</f>
        <v>5.1046868683603253E-2</v>
      </c>
      <c r="BK24" s="279">
        <f>BJ24*(1-'Hulpblad - Uitgangspunten'!$D$9)</f>
        <v>4.849452524942309E-2</v>
      </c>
      <c r="BL24" s="280">
        <f>BK24*(1-'Hulpblad - Uitgangspunten'!$D$9)</f>
        <v>4.6069798986951932E-2</v>
      </c>
    </row>
    <row r="25" spans="2:64">
      <c r="B25" s="277" t="s">
        <v>143</v>
      </c>
      <c r="C25" s="132"/>
      <c r="D25" s="288">
        <v>0</v>
      </c>
      <c r="E25" s="289">
        <f>$D$24-E24</f>
        <v>5.0000000000000044E-2</v>
      </c>
      <c r="F25" s="289">
        <f t="shared" ref="F25:BL25" si="5">$D$24-F24</f>
        <v>9.7500000000000031E-2</v>
      </c>
      <c r="G25" s="289">
        <f t="shared" si="5"/>
        <v>0.14262500000000011</v>
      </c>
      <c r="H25" s="289">
        <f t="shared" si="5"/>
        <v>0.18549375000000012</v>
      </c>
      <c r="I25" s="289">
        <f t="shared" si="5"/>
        <v>0.22621906250000012</v>
      </c>
      <c r="J25" s="289">
        <f t="shared" si="5"/>
        <v>0.2649081093750002</v>
      </c>
      <c r="K25" s="289">
        <f t="shared" si="5"/>
        <v>0.30166270390625027</v>
      </c>
      <c r="L25" s="289">
        <f t="shared" si="5"/>
        <v>0.33657956871093775</v>
      </c>
      <c r="M25" s="289">
        <f t="shared" si="5"/>
        <v>0.36975059027539092</v>
      </c>
      <c r="N25" s="289">
        <f t="shared" si="5"/>
        <v>0.40126306076162144</v>
      </c>
      <c r="O25" s="289">
        <f t="shared" si="5"/>
        <v>0.43119990772354044</v>
      </c>
      <c r="P25" s="289">
        <f t="shared" si="5"/>
        <v>0.45963991233736345</v>
      </c>
      <c r="Q25" s="289">
        <f t="shared" si="5"/>
        <v>0.4866579167204953</v>
      </c>
      <c r="R25" s="289">
        <f t="shared" si="5"/>
        <v>0.51232502088447052</v>
      </c>
      <c r="S25" s="289">
        <f t="shared" si="5"/>
        <v>0.53670876984024707</v>
      </c>
      <c r="T25" s="289">
        <f t="shared" si="5"/>
        <v>0.55987333134823469</v>
      </c>
      <c r="U25" s="289">
        <f t="shared" si="5"/>
        <v>0.58187966478082309</v>
      </c>
      <c r="V25" s="289">
        <f t="shared" si="5"/>
        <v>0.60278568154178191</v>
      </c>
      <c r="W25" s="289">
        <f t="shared" si="5"/>
        <v>0.62264639746469286</v>
      </c>
      <c r="X25" s="289">
        <f t="shared" si="5"/>
        <v>0.64151407759145829</v>
      </c>
      <c r="Y25" s="289">
        <f t="shared" si="5"/>
        <v>0.65943837371188541</v>
      </c>
      <c r="Z25" s="289">
        <f t="shared" si="5"/>
        <v>0.6764664550262911</v>
      </c>
      <c r="AA25" s="289">
        <f t="shared" si="5"/>
        <v>0.69264313227497654</v>
      </c>
      <c r="AB25" s="289">
        <f t="shared" si="5"/>
        <v>0.70801097566122773</v>
      </c>
      <c r="AC25" s="289">
        <f t="shared" si="5"/>
        <v>0.72261042687816635</v>
      </c>
      <c r="AD25" s="289">
        <f t="shared" si="5"/>
        <v>0.73647990553425802</v>
      </c>
      <c r="AE25" s="289">
        <f t="shared" si="5"/>
        <v>0.74965591025754508</v>
      </c>
      <c r="AF25" s="289">
        <f t="shared" si="5"/>
        <v>0.76217311474466787</v>
      </c>
      <c r="AG25" s="289">
        <f t="shared" si="5"/>
        <v>0.77406445900743448</v>
      </c>
      <c r="AH25" s="289">
        <f t="shared" si="5"/>
        <v>0.78536123605706276</v>
      </c>
      <c r="AI25" s="289">
        <f t="shared" si="5"/>
        <v>0.79609317425420967</v>
      </c>
      <c r="AJ25" s="289">
        <f t="shared" si="5"/>
        <v>0.80628851554149916</v>
      </c>
      <c r="AK25" s="289">
        <f t="shared" si="5"/>
        <v>0.8159740897644242</v>
      </c>
      <c r="AL25" s="289">
        <f t="shared" si="5"/>
        <v>0.82517538527620304</v>
      </c>
      <c r="AM25" s="289">
        <f t="shared" si="5"/>
        <v>0.83391661601239286</v>
      </c>
      <c r="AN25" s="289">
        <f t="shared" si="5"/>
        <v>0.84222078521177324</v>
      </c>
      <c r="AO25" s="289">
        <f t="shared" si="5"/>
        <v>0.8501097459511846</v>
      </c>
      <c r="AP25" s="289">
        <f t="shared" si="5"/>
        <v>0.85760425865362533</v>
      </c>
      <c r="AQ25" s="289">
        <f t="shared" si="5"/>
        <v>0.86472404572094408</v>
      </c>
      <c r="AR25" s="289">
        <f t="shared" si="5"/>
        <v>0.87148784343489694</v>
      </c>
      <c r="AS25" s="289">
        <f t="shared" si="5"/>
        <v>0.87791345126315212</v>
      </c>
      <c r="AT25" s="289">
        <f t="shared" si="5"/>
        <v>0.88401777869999443</v>
      </c>
      <c r="AU25" s="289">
        <f t="shared" si="5"/>
        <v>0.88981688976499473</v>
      </c>
      <c r="AV25" s="289">
        <f t="shared" si="5"/>
        <v>0.89532604527674498</v>
      </c>
      <c r="AW25" s="289">
        <f t="shared" si="5"/>
        <v>0.90055974301290775</v>
      </c>
      <c r="AX25" s="289">
        <f t="shared" si="5"/>
        <v>0.90553175586226242</v>
      </c>
      <c r="AY25" s="289">
        <f t="shared" si="5"/>
        <v>0.9102551680691493</v>
      </c>
      <c r="AZ25" s="289">
        <f t="shared" si="5"/>
        <v>0.91474240966569176</v>
      </c>
      <c r="BA25" s="289">
        <f t="shared" si="5"/>
        <v>0.9190052891824072</v>
      </c>
      <c r="BB25" s="289">
        <f t="shared" si="5"/>
        <v>0.92305502472328682</v>
      </c>
      <c r="BC25" s="289">
        <f t="shared" si="5"/>
        <v>0.92690227348712251</v>
      </c>
      <c r="BD25" s="289">
        <f t="shared" si="5"/>
        <v>0.93055715981276643</v>
      </c>
      <c r="BE25" s="289">
        <f t="shared" si="5"/>
        <v>0.93402930182212807</v>
      </c>
      <c r="BF25" s="289">
        <f t="shared" si="5"/>
        <v>0.93732783673102171</v>
      </c>
      <c r="BG25" s="289">
        <f t="shared" si="5"/>
        <v>0.94046144489447059</v>
      </c>
      <c r="BH25" s="289">
        <f t="shared" si="5"/>
        <v>0.94343837264974706</v>
      </c>
      <c r="BI25" s="289">
        <f t="shared" si="5"/>
        <v>0.94626645401725973</v>
      </c>
      <c r="BJ25" s="289">
        <f t="shared" si="5"/>
        <v>0.9489531313163968</v>
      </c>
      <c r="BK25" s="289">
        <f t="shared" si="5"/>
        <v>0.9515054747505769</v>
      </c>
      <c r="BL25" s="290">
        <f t="shared" si="5"/>
        <v>0.95393020101304804</v>
      </c>
    </row>
    <row r="26" spans="2:64">
      <c r="B26" s="262" t="s">
        <v>144</v>
      </c>
      <c r="C26" s="132"/>
      <c r="D26" s="278">
        <f>D25+D24</f>
        <v>1</v>
      </c>
      <c r="E26" s="279">
        <f>E25+E24</f>
        <v>1</v>
      </c>
      <c r="F26" s="279">
        <f t="shared" ref="F26:BL26" si="6">F25+F24</f>
        <v>1</v>
      </c>
      <c r="G26" s="279">
        <f t="shared" si="6"/>
        <v>1</v>
      </c>
      <c r="H26" s="279">
        <f t="shared" si="6"/>
        <v>1</v>
      </c>
      <c r="I26" s="279">
        <f t="shared" si="6"/>
        <v>1</v>
      </c>
      <c r="J26" s="279">
        <f t="shared" si="6"/>
        <v>1</v>
      </c>
      <c r="K26" s="279">
        <f t="shared" si="6"/>
        <v>1</v>
      </c>
      <c r="L26" s="279">
        <f t="shared" si="6"/>
        <v>1</v>
      </c>
      <c r="M26" s="279">
        <f t="shared" si="6"/>
        <v>1</v>
      </c>
      <c r="N26" s="279">
        <f t="shared" si="6"/>
        <v>1</v>
      </c>
      <c r="O26" s="279">
        <f t="shared" si="6"/>
        <v>1</v>
      </c>
      <c r="P26" s="279">
        <f t="shared" si="6"/>
        <v>1</v>
      </c>
      <c r="Q26" s="279">
        <f t="shared" si="6"/>
        <v>1</v>
      </c>
      <c r="R26" s="279">
        <f t="shared" si="6"/>
        <v>1</v>
      </c>
      <c r="S26" s="279">
        <f t="shared" si="6"/>
        <v>1</v>
      </c>
      <c r="T26" s="279">
        <f t="shared" si="6"/>
        <v>1</v>
      </c>
      <c r="U26" s="279">
        <f t="shared" si="6"/>
        <v>1</v>
      </c>
      <c r="V26" s="279">
        <f t="shared" si="6"/>
        <v>1</v>
      </c>
      <c r="W26" s="279">
        <f t="shared" si="6"/>
        <v>1</v>
      </c>
      <c r="X26" s="279">
        <f t="shared" si="6"/>
        <v>1</v>
      </c>
      <c r="Y26" s="279">
        <f t="shared" si="6"/>
        <v>1</v>
      </c>
      <c r="Z26" s="279">
        <f t="shared" si="6"/>
        <v>1</v>
      </c>
      <c r="AA26" s="279">
        <f t="shared" si="6"/>
        <v>1</v>
      </c>
      <c r="AB26" s="279">
        <f t="shared" si="6"/>
        <v>1</v>
      </c>
      <c r="AC26" s="279">
        <f t="shared" si="6"/>
        <v>1</v>
      </c>
      <c r="AD26" s="279">
        <f t="shared" si="6"/>
        <v>1</v>
      </c>
      <c r="AE26" s="279">
        <f t="shared" si="6"/>
        <v>1</v>
      </c>
      <c r="AF26" s="279">
        <f t="shared" si="6"/>
        <v>1</v>
      </c>
      <c r="AG26" s="279">
        <f t="shared" si="6"/>
        <v>1</v>
      </c>
      <c r="AH26" s="279">
        <f t="shared" si="6"/>
        <v>1</v>
      </c>
      <c r="AI26" s="279">
        <f t="shared" si="6"/>
        <v>1</v>
      </c>
      <c r="AJ26" s="279">
        <f t="shared" si="6"/>
        <v>1</v>
      </c>
      <c r="AK26" s="279">
        <f t="shared" si="6"/>
        <v>1</v>
      </c>
      <c r="AL26" s="279">
        <f t="shared" si="6"/>
        <v>1</v>
      </c>
      <c r="AM26" s="279">
        <f t="shared" si="6"/>
        <v>1</v>
      </c>
      <c r="AN26" s="279">
        <f t="shared" si="6"/>
        <v>1</v>
      </c>
      <c r="AO26" s="279">
        <f t="shared" si="6"/>
        <v>1</v>
      </c>
      <c r="AP26" s="279">
        <f t="shared" si="6"/>
        <v>1</v>
      </c>
      <c r="AQ26" s="279">
        <f t="shared" si="6"/>
        <v>1</v>
      </c>
      <c r="AR26" s="279">
        <f t="shared" si="6"/>
        <v>1</v>
      </c>
      <c r="AS26" s="279">
        <f t="shared" si="6"/>
        <v>1</v>
      </c>
      <c r="AT26" s="279">
        <f t="shared" si="6"/>
        <v>1</v>
      </c>
      <c r="AU26" s="279">
        <f t="shared" si="6"/>
        <v>1</v>
      </c>
      <c r="AV26" s="279">
        <f t="shared" si="6"/>
        <v>1</v>
      </c>
      <c r="AW26" s="279">
        <f t="shared" si="6"/>
        <v>1</v>
      </c>
      <c r="AX26" s="279">
        <f t="shared" si="6"/>
        <v>1</v>
      </c>
      <c r="AY26" s="279">
        <f t="shared" si="6"/>
        <v>1</v>
      </c>
      <c r="AZ26" s="279">
        <f t="shared" si="6"/>
        <v>1</v>
      </c>
      <c r="BA26" s="279">
        <f t="shared" si="6"/>
        <v>1</v>
      </c>
      <c r="BB26" s="279">
        <f t="shared" si="6"/>
        <v>1</v>
      </c>
      <c r="BC26" s="279">
        <f t="shared" si="6"/>
        <v>1</v>
      </c>
      <c r="BD26" s="279">
        <f t="shared" si="6"/>
        <v>1</v>
      </c>
      <c r="BE26" s="279">
        <f t="shared" si="6"/>
        <v>1</v>
      </c>
      <c r="BF26" s="279">
        <f t="shared" si="6"/>
        <v>1</v>
      </c>
      <c r="BG26" s="279">
        <f t="shared" si="6"/>
        <v>1</v>
      </c>
      <c r="BH26" s="279">
        <f t="shared" si="6"/>
        <v>1</v>
      </c>
      <c r="BI26" s="279">
        <f t="shared" si="6"/>
        <v>1</v>
      </c>
      <c r="BJ26" s="279">
        <f t="shared" si="6"/>
        <v>1</v>
      </c>
      <c r="BK26" s="279">
        <f t="shared" si="6"/>
        <v>1</v>
      </c>
      <c r="BL26" s="280">
        <f t="shared" si="6"/>
        <v>1</v>
      </c>
    </row>
    <row r="27" spans="2:64">
      <c r="B27" s="262"/>
      <c r="C27" s="132"/>
      <c r="D27" s="281"/>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80"/>
    </row>
    <row r="28" spans="2:64">
      <c r="B28" s="268" t="s">
        <v>145</v>
      </c>
      <c r="C28" s="132"/>
      <c r="D28" s="273"/>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6"/>
    </row>
    <row r="29" spans="2:64">
      <c r="B29" s="262" t="s">
        <v>146</v>
      </c>
      <c r="C29" s="132"/>
      <c r="D29" s="273">
        <f>-'Woco - Reeks onderhoud'!D8*'Woco - Reeks onderhoud'!D9</f>
        <v>0</v>
      </c>
      <c r="E29" s="282">
        <f>-'Woco - Reeks onderhoud'!E8*'Woco - Reeks onderhoud'!E9</f>
        <v>0</v>
      </c>
      <c r="F29" s="282">
        <f>-'Woco - Reeks onderhoud'!F8*'Woco - Reeks onderhoud'!F9</f>
        <v>0</v>
      </c>
      <c r="G29" s="282">
        <f>-'Woco - Reeks onderhoud'!G8*'Woco - Reeks onderhoud'!G9</f>
        <v>0</v>
      </c>
      <c r="H29" s="282">
        <f>-'Woco - Reeks onderhoud'!H8*'Woco - Reeks onderhoud'!H9</f>
        <v>0</v>
      </c>
      <c r="I29" s="282">
        <f>-'Woco - Reeks onderhoud'!I8*'Woco - Reeks onderhoud'!I9</f>
        <v>0</v>
      </c>
      <c r="J29" s="282">
        <f>-'Woco - Reeks onderhoud'!J8*'Woco - Reeks onderhoud'!J9</f>
        <v>0</v>
      </c>
      <c r="K29" s="282">
        <f>-'Woco - Reeks onderhoud'!K8*'Woco - Reeks onderhoud'!K9</f>
        <v>0</v>
      </c>
      <c r="L29" s="282">
        <f>-'Woco - Reeks onderhoud'!L8*'Woco - Reeks onderhoud'!L9</f>
        <v>0</v>
      </c>
      <c r="M29" s="282">
        <f>-'Woco - Reeks onderhoud'!M8*'Woco - Reeks onderhoud'!M9</f>
        <v>0</v>
      </c>
      <c r="N29" s="282">
        <f>-'Woco - Reeks onderhoud'!N8*'Woco - Reeks onderhoud'!N9</f>
        <v>0</v>
      </c>
      <c r="O29" s="282">
        <f>-'Woco - Reeks onderhoud'!O8*'Woco - Reeks onderhoud'!O9</f>
        <v>0</v>
      </c>
      <c r="P29" s="282">
        <f>-'Woco - Reeks onderhoud'!P8*'Woco - Reeks onderhoud'!P9</f>
        <v>0</v>
      </c>
      <c r="Q29" s="282">
        <f>-'Woco - Reeks onderhoud'!Q8*'Woco - Reeks onderhoud'!Q9</f>
        <v>0</v>
      </c>
      <c r="R29" s="282">
        <f>-'Woco - Reeks onderhoud'!R8*'Woco - Reeks onderhoud'!R9</f>
        <v>0</v>
      </c>
      <c r="S29" s="282">
        <f>-'Woco - Reeks onderhoud'!S8*'Woco - Reeks onderhoud'!S9</f>
        <v>0</v>
      </c>
      <c r="T29" s="282">
        <f>-'Woco - Reeks onderhoud'!T8*'Woco - Reeks onderhoud'!T9</f>
        <v>0</v>
      </c>
      <c r="U29" s="282">
        <f>-'Woco - Reeks onderhoud'!U8*'Woco - Reeks onderhoud'!U9</f>
        <v>0</v>
      </c>
      <c r="V29" s="282">
        <f>-'Woco - Reeks onderhoud'!V8*'Woco - Reeks onderhoud'!V9</f>
        <v>0</v>
      </c>
      <c r="W29" s="282">
        <f>-'Woco - Reeks onderhoud'!W8*'Woco - Reeks onderhoud'!W9</f>
        <v>0</v>
      </c>
      <c r="X29" s="282">
        <f>-'Woco - Reeks onderhoud'!X8*'Woco - Reeks onderhoud'!X9</f>
        <v>0</v>
      </c>
      <c r="Y29" s="282">
        <f>-'Woco - Reeks onderhoud'!Y8*'Woco - Reeks onderhoud'!Y9</f>
        <v>0</v>
      </c>
      <c r="Z29" s="282">
        <f>-'Woco - Reeks onderhoud'!Z8*'Woco - Reeks onderhoud'!Z9</f>
        <v>0</v>
      </c>
      <c r="AA29" s="282">
        <f>-'Woco - Reeks onderhoud'!AA8*'Woco - Reeks onderhoud'!AA9</f>
        <v>0</v>
      </c>
      <c r="AB29" s="282">
        <f>-'Woco - Reeks onderhoud'!AB8*'Woco - Reeks onderhoud'!AB9</f>
        <v>0</v>
      </c>
      <c r="AC29" s="282">
        <f>-'Woco - Reeks onderhoud'!AC8*'Woco - Reeks onderhoud'!AC9</f>
        <v>0</v>
      </c>
      <c r="AD29" s="282">
        <f>-'Woco - Reeks onderhoud'!AD8*'Woco - Reeks onderhoud'!AD9</f>
        <v>0</v>
      </c>
      <c r="AE29" s="282">
        <f>-'Woco - Reeks onderhoud'!AE8*'Woco - Reeks onderhoud'!AE9</f>
        <v>0</v>
      </c>
      <c r="AF29" s="282">
        <f>-'Woco - Reeks onderhoud'!AF8*'Woco - Reeks onderhoud'!AF9</f>
        <v>0</v>
      </c>
      <c r="AG29" s="282">
        <f>-'Woco - Reeks onderhoud'!AG8*'Woco - Reeks onderhoud'!AG9</f>
        <v>0</v>
      </c>
      <c r="AH29" s="282">
        <f>-'Woco - Reeks onderhoud'!AH8*'Woco - Reeks onderhoud'!AH9</f>
        <v>0</v>
      </c>
      <c r="AI29" s="282">
        <f>-'Woco - Reeks onderhoud'!AI8*'Woco - Reeks onderhoud'!AI9</f>
        <v>0</v>
      </c>
      <c r="AJ29" s="282">
        <f>-'Woco - Reeks onderhoud'!AJ8*'Woco - Reeks onderhoud'!AJ9</f>
        <v>0</v>
      </c>
      <c r="AK29" s="282">
        <f>-'Woco - Reeks onderhoud'!AK8*'Woco - Reeks onderhoud'!AK9</f>
        <v>0</v>
      </c>
      <c r="AL29" s="282">
        <f>-'Woco - Reeks onderhoud'!AL8*'Woco - Reeks onderhoud'!AL9</f>
        <v>0</v>
      </c>
      <c r="AM29" s="282">
        <f>-'Woco - Reeks onderhoud'!AM8*'Woco - Reeks onderhoud'!AM9</f>
        <v>0</v>
      </c>
      <c r="AN29" s="282">
        <f>-'Woco - Reeks onderhoud'!AN8*'Woco - Reeks onderhoud'!AN9</f>
        <v>0</v>
      </c>
      <c r="AO29" s="282">
        <f>-'Woco - Reeks onderhoud'!AO8*'Woco - Reeks onderhoud'!AO9</f>
        <v>0</v>
      </c>
      <c r="AP29" s="282">
        <f>-'Woco - Reeks onderhoud'!AP8*'Woco - Reeks onderhoud'!AP9</f>
        <v>0</v>
      </c>
      <c r="AQ29" s="282">
        <f>-'Woco - Reeks onderhoud'!AQ8*'Woco - Reeks onderhoud'!AQ9</f>
        <v>0</v>
      </c>
      <c r="AR29" s="282">
        <f>-'Woco - Reeks onderhoud'!AR8*'Woco - Reeks onderhoud'!AR9</f>
        <v>0</v>
      </c>
      <c r="AS29" s="282">
        <f>-'Woco - Reeks onderhoud'!AS8*'Woco - Reeks onderhoud'!AS9</f>
        <v>0</v>
      </c>
      <c r="AT29" s="282">
        <f>-'Woco - Reeks onderhoud'!AT8*'Woco - Reeks onderhoud'!AT9</f>
        <v>0</v>
      </c>
      <c r="AU29" s="282">
        <f>-'Woco - Reeks onderhoud'!AU8*'Woco - Reeks onderhoud'!AU9</f>
        <v>0</v>
      </c>
      <c r="AV29" s="282">
        <f>-'Woco - Reeks onderhoud'!AV8*'Woco - Reeks onderhoud'!AV9</f>
        <v>0</v>
      </c>
      <c r="AW29" s="282">
        <f>-'Woco - Reeks onderhoud'!AW8*'Woco - Reeks onderhoud'!AW9</f>
        <v>0</v>
      </c>
      <c r="AX29" s="282">
        <f>-'Woco - Reeks onderhoud'!AX8*'Woco - Reeks onderhoud'!AX9</f>
        <v>0</v>
      </c>
      <c r="AY29" s="282">
        <f>-'Woco - Reeks onderhoud'!AY8*'Woco - Reeks onderhoud'!AY9</f>
        <v>0</v>
      </c>
      <c r="AZ29" s="282">
        <f>-'Woco - Reeks onderhoud'!AZ8*'Woco - Reeks onderhoud'!AZ9</f>
        <v>0</v>
      </c>
      <c r="BA29" s="282">
        <f>-'Woco - Reeks onderhoud'!BA8*'Woco - Reeks onderhoud'!BA9</f>
        <v>0</v>
      </c>
      <c r="BB29" s="282">
        <f>-'Woco - Reeks onderhoud'!BB8*'Woco - Reeks onderhoud'!BB9</f>
        <v>0</v>
      </c>
      <c r="BC29" s="282">
        <f>-'Woco - Reeks onderhoud'!BC8*'Woco - Reeks onderhoud'!BC9</f>
        <v>0</v>
      </c>
      <c r="BD29" s="282">
        <f>-'Woco - Reeks onderhoud'!BD8*'Woco - Reeks onderhoud'!BD9</f>
        <v>0</v>
      </c>
      <c r="BE29" s="282">
        <f>-'Woco - Reeks onderhoud'!BE8*'Woco - Reeks onderhoud'!BE9</f>
        <v>0</v>
      </c>
      <c r="BF29" s="282">
        <f>-'Woco - Reeks onderhoud'!BF8*'Woco - Reeks onderhoud'!BF9</f>
        <v>0</v>
      </c>
      <c r="BG29" s="282">
        <f>-'Woco - Reeks onderhoud'!BG8*'Woco - Reeks onderhoud'!BG9</f>
        <v>0</v>
      </c>
      <c r="BH29" s="282">
        <f>-'Woco - Reeks onderhoud'!BH8*'Woco - Reeks onderhoud'!BH9</f>
        <v>0</v>
      </c>
      <c r="BI29" s="282">
        <f>-'Woco - Reeks onderhoud'!BI8*'Woco - Reeks onderhoud'!BI9</f>
        <v>0</v>
      </c>
      <c r="BJ29" s="282">
        <f>-'Woco - Reeks onderhoud'!BJ8*'Woco - Reeks onderhoud'!BJ9</f>
        <v>0</v>
      </c>
      <c r="BK29" s="282">
        <f>-'Woco - Reeks onderhoud'!BK8*'Woco - Reeks onderhoud'!BK9</f>
        <v>0</v>
      </c>
      <c r="BL29" s="283">
        <f>-'Woco - Reeks onderhoud'!BL8*'Woco - Reeks onderhoud'!BL9</f>
        <v>0</v>
      </c>
    </row>
    <row r="30" spans="2:64">
      <c r="B30" s="284" t="s">
        <v>147</v>
      </c>
      <c r="C30" s="74"/>
      <c r="D30" s="285">
        <f>-'Woco - Project'!C23</f>
        <v>0</v>
      </c>
      <c r="E30" s="286">
        <f>D30*(1+'Hulpblad - Uitgangspunten'!E18)</f>
        <v>0</v>
      </c>
      <c r="F30" s="286">
        <f>E30*(1+'Hulpblad - Uitgangspunten'!F18)</f>
        <v>0</v>
      </c>
      <c r="G30" s="286">
        <f>F30*(1+'Hulpblad - Uitgangspunten'!G18)</f>
        <v>0</v>
      </c>
      <c r="H30" s="286">
        <f>G30*(1+'Hulpblad - Uitgangspunten'!H18)</f>
        <v>0</v>
      </c>
      <c r="I30" s="286">
        <f>H30*(1+'Hulpblad - Uitgangspunten'!$I$18)</f>
        <v>0</v>
      </c>
      <c r="J30" s="286">
        <f>I30*(1+'Hulpblad - Uitgangspunten'!$I$18)</f>
        <v>0</v>
      </c>
      <c r="K30" s="286">
        <f>J30*(1+'Hulpblad - Uitgangspunten'!$I$18)</f>
        <v>0</v>
      </c>
      <c r="L30" s="286">
        <f>K30*(1+'Hulpblad - Uitgangspunten'!$I$18)</f>
        <v>0</v>
      </c>
      <c r="M30" s="286">
        <f>L30*(1+'Hulpblad - Uitgangspunten'!$I$18)</f>
        <v>0</v>
      </c>
      <c r="N30" s="286">
        <f>M30*(1+'Hulpblad - Uitgangspunten'!$I$18)</f>
        <v>0</v>
      </c>
      <c r="O30" s="286">
        <f>N30*(1+'Hulpblad - Uitgangspunten'!$I$18)</f>
        <v>0</v>
      </c>
      <c r="P30" s="286">
        <f>O30*(1+'Hulpblad - Uitgangspunten'!$I$18)</f>
        <v>0</v>
      </c>
      <c r="Q30" s="286">
        <f>P30*(1+'Hulpblad - Uitgangspunten'!$I$18)</f>
        <v>0</v>
      </c>
      <c r="R30" s="286">
        <f>Q30*(1+'Hulpblad - Uitgangspunten'!$I$18)</f>
        <v>0</v>
      </c>
      <c r="S30" s="286">
        <f>R30*(1+'Hulpblad - Uitgangspunten'!$I$18)</f>
        <v>0</v>
      </c>
      <c r="T30" s="286">
        <f>S30*(1+'Hulpblad - Uitgangspunten'!$I$18)</f>
        <v>0</v>
      </c>
      <c r="U30" s="286">
        <f>T30*(1+'Hulpblad - Uitgangspunten'!$I$18)</f>
        <v>0</v>
      </c>
      <c r="V30" s="286">
        <f>U30*(1+'Hulpblad - Uitgangspunten'!$I$18)</f>
        <v>0</v>
      </c>
      <c r="W30" s="286">
        <f>V30*(1+'Hulpblad - Uitgangspunten'!$I$18)</f>
        <v>0</v>
      </c>
      <c r="X30" s="286">
        <f>W30*(1+'Hulpblad - Uitgangspunten'!$I$18)</f>
        <v>0</v>
      </c>
      <c r="Y30" s="286">
        <f>X30*(1+'Hulpblad - Uitgangspunten'!$I$18)</f>
        <v>0</v>
      </c>
      <c r="Z30" s="286">
        <f>Y30*(1+'Hulpblad - Uitgangspunten'!$I$18)</f>
        <v>0</v>
      </c>
      <c r="AA30" s="286">
        <f>Z30*(1+'Hulpblad - Uitgangspunten'!$I$18)</f>
        <v>0</v>
      </c>
      <c r="AB30" s="286">
        <f>AA30*(1+'Hulpblad - Uitgangspunten'!$I$18)</f>
        <v>0</v>
      </c>
      <c r="AC30" s="286">
        <f>AB30*(1+'Hulpblad - Uitgangspunten'!$I$18)</f>
        <v>0</v>
      </c>
      <c r="AD30" s="286">
        <f>AC30*(1+'Hulpblad - Uitgangspunten'!$I$18)</f>
        <v>0</v>
      </c>
      <c r="AE30" s="286">
        <f>AD30*(1+'Hulpblad - Uitgangspunten'!$I$18)</f>
        <v>0</v>
      </c>
      <c r="AF30" s="286">
        <f>AE30*(1+'Hulpblad - Uitgangspunten'!$I$18)</f>
        <v>0</v>
      </c>
      <c r="AG30" s="286">
        <f>AF30*(1+'Hulpblad - Uitgangspunten'!$I$18)</f>
        <v>0</v>
      </c>
      <c r="AH30" s="286">
        <f>AG30*(1+'Hulpblad - Uitgangspunten'!$I$18)</f>
        <v>0</v>
      </c>
      <c r="AI30" s="286">
        <f>AH30*(1+'Hulpblad - Uitgangspunten'!$I$18)</f>
        <v>0</v>
      </c>
      <c r="AJ30" s="286">
        <f>AI30*(1+'Hulpblad - Uitgangspunten'!$I$18)</f>
        <v>0</v>
      </c>
      <c r="AK30" s="286">
        <f>AJ30*(1+'Hulpblad - Uitgangspunten'!$I$18)</f>
        <v>0</v>
      </c>
      <c r="AL30" s="286">
        <f>AK30*(1+'Hulpblad - Uitgangspunten'!$I$18)</f>
        <v>0</v>
      </c>
      <c r="AM30" s="286">
        <f>AL30*(1+'Hulpblad - Uitgangspunten'!$I$18)</f>
        <v>0</v>
      </c>
      <c r="AN30" s="286">
        <f>AM30*(1+'Hulpblad - Uitgangspunten'!$I$18)</f>
        <v>0</v>
      </c>
      <c r="AO30" s="286">
        <f>AN30*(1+'Hulpblad - Uitgangspunten'!$I$18)</f>
        <v>0</v>
      </c>
      <c r="AP30" s="286">
        <f>AO30*(1+'Hulpblad - Uitgangspunten'!$I$18)</f>
        <v>0</v>
      </c>
      <c r="AQ30" s="286">
        <f>AP30*(1+'Hulpblad - Uitgangspunten'!$I$18)</f>
        <v>0</v>
      </c>
      <c r="AR30" s="286">
        <f>AQ30*(1+'Hulpblad - Uitgangspunten'!$I$18)</f>
        <v>0</v>
      </c>
      <c r="AS30" s="286">
        <f>AR30*(1+'Hulpblad - Uitgangspunten'!$I$18)</f>
        <v>0</v>
      </c>
      <c r="AT30" s="286">
        <f>AS30*(1+'Hulpblad - Uitgangspunten'!$I$18)</f>
        <v>0</v>
      </c>
      <c r="AU30" s="286">
        <f>AT30*(1+'Hulpblad - Uitgangspunten'!$I$18)</f>
        <v>0</v>
      </c>
      <c r="AV30" s="286">
        <f>AU30*(1+'Hulpblad - Uitgangspunten'!$I$18)</f>
        <v>0</v>
      </c>
      <c r="AW30" s="286">
        <f>AV30*(1+'Hulpblad - Uitgangspunten'!$I$18)</f>
        <v>0</v>
      </c>
      <c r="AX30" s="286">
        <f>AW30*(1+'Hulpblad - Uitgangspunten'!$I$18)</f>
        <v>0</v>
      </c>
      <c r="AY30" s="286">
        <f>AX30*(1+'Hulpblad - Uitgangspunten'!$I$18)</f>
        <v>0</v>
      </c>
      <c r="AZ30" s="286">
        <f>AY30*(1+'Hulpblad - Uitgangspunten'!$I$18)</f>
        <v>0</v>
      </c>
      <c r="BA30" s="286">
        <f>AZ30*(1+'Hulpblad - Uitgangspunten'!$I$18)</f>
        <v>0</v>
      </c>
      <c r="BB30" s="286">
        <f>BA30*(1+'Hulpblad - Uitgangspunten'!$I$18)</f>
        <v>0</v>
      </c>
      <c r="BC30" s="286">
        <f>BB30*(1+'Hulpblad - Uitgangspunten'!$I$18)</f>
        <v>0</v>
      </c>
      <c r="BD30" s="286">
        <f>BC30*(1+'Hulpblad - Uitgangspunten'!$I$18)</f>
        <v>0</v>
      </c>
      <c r="BE30" s="286">
        <f>BD30*(1+'Hulpblad - Uitgangspunten'!$I$18)</f>
        <v>0</v>
      </c>
      <c r="BF30" s="286">
        <f>BE30*(1+'Hulpblad - Uitgangspunten'!$I$18)</f>
        <v>0</v>
      </c>
      <c r="BG30" s="286">
        <f>BF30*(1+'Hulpblad - Uitgangspunten'!$I$18)</f>
        <v>0</v>
      </c>
      <c r="BH30" s="286">
        <f>BG30*(1+'Hulpblad - Uitgangspunten'!$I$18)</f>
        <v>0</v>
      </c>
      <c r="BI30" s="286">
        <f>BH30*(1+'Hulpblad - Uitgangspunten'!$I$18)</f>
        <v>0</v>
      </c>
      <c r="BJ30" s="286">
        <f>BI30*(1+'Hulpblad - Uitgangspunten'!$I$18)</f>
        <v>0</v>
      </c>
      <c r="BK30" s="286">
        <f>BJ30*(1+'Hulpblad - Uitgangspunten'!$I$18)</f>
        <v>0</v>
      </c>
      <c r="BL30" s="287">
        <f>BK30*(1+'Hulpblad - Uitgangspunten'!$I$18)</f>
        <v>0</v>
      </c>
    </row>
    <row r="31" spans="2:64">
      <c r="B31" s="1"/>
      <c r="D31" s="130"/>
      <c r="BL31" s="59"/>
    </row>
    <row r="32" spans="2:64">
      <c r="B32" s="77" t="s">
        <v>148</v>
      </c>
      <c r="C32" s="292"/>
      <c r="D32" s="123"/>
      <c r="E32" s="123">
        <f>E7</f>
        <v>2025</v>
      </c>
      <c r="F32" s="123">
        <f t="shared" ref="F32:BK32" si="7">F7</f>
        <v>2026</v>
      </c>
      <c r="G32" s="123">
        <f t="shared" si="7"/>
        <v>2027</v>
      </c>
      <c r="H32" s="123">
        <f t="shared" si="7"/>
        <v>2028</v>
      </c>
      <c r="I32" s="123">
        <f t="shared" si="7"/>
        <v>2029</v>
      </c>
      <c r="J32" s="123">
        <f t="shared" si="7"/>
        <v>2030</v>
      </c>
      <c r="K32" s="123">
        <f t="shared" si="7"/>
        <v>2031</v>
      </c>
      <c r="L32" s="123">
        <f t="shared" si="7"/>
        <v>2032</v>
      </c>
      <c r="M32" s="123">
        <f t="shared" si="7"/>
        <v>2033</v>
      </c>
      <c r="N32" s="123">
        <f t="shared" si="7"/>
        <v>2034</v>
      </c>
      <c r="O32" s="123">
        <f t="shared" si="7"/>
        <v>2035</v>
      </c>
      <c r="P32" s="123">
        <f t="shared" si="7"/>
        <v>2036</v>
      </c>
      <c r="Q32" s="123">
        <f t="shared" si="7"/>
        <v>2037</v>
      </c>
      <c r="R32" s="123">
        <f t="shared" si="7"/>
        <v>2038</v>
      </c>
      <c r="S32" s="123">
        <f t="shared" si="7"/>
        <v>2039</v>
      </c>
      <c r="T32" s="123">
        <f t="shared" si="7"/>
        <v>2040</v>
      </c>
      <c r="U32" s="123">
        <f t="shared" si="7"/>
        <v>2041</v>
      </c>
      <c r="V32" s="123">
        <f t="shared" si="7"/>
        <v>2042</v>
      </c>
      <c r="W32" s="123">
        <f t="shared" si="7"/>
        <v>2043</v>
      </c>
      <c r="X32" s="123">
        <f t="shared" si="7"/>
        <v>2044</v>
      </c>
      <c r="Y32" s="123">
        <f t="shared" si="7"/>
        <v>2045</v>
      </c>
      <c r="Z32" s="123">
        <f t="shared" si="7"/>
        <v>2046</v>
      </c>
      <c r="AA32" s="123">
        <f t="shared" si="7"/>
        <v>2047</v>
      </c>
      <c r="AB32" s="123">
        <f t="shared" si="7"/>
        <v>2048</v>
      </c>
      <c r="AC32" s="123">
        <f t="shared" si="7"/>
        <v>2049</v>
      </c>
      <c r="AD32" s="123">
        <f t="shared" si="7"/>
        <v>2050</v>
      </c>
      <c r="AE32" s="123">
        <f t="shared" si="7"/>
        <v>2051</v>
      </c>
      <c r="AF32" s="123">
        <f t="shared" si="7"/>
        <v>2052</v>
      </c>
      <c r="AG32" s="123">
        <f t="shared" si="7"/>
        <v>2053</v>
      </c>
      <c r="AH32" s="123">
        <f t="shared" si="7"/>
        <v>2054</v>
      </c>
      <c r="AI32" s="123">
        <f t="shared" si="7"/>
        <v>2055</v>
      </c>
      <c r="AJ32" s="123">
        <f t="shared" si="7"/>
        <v>2056</v>
      </c>
      <c r="AK32" s="123">
        <f t="shared" si="7"/>
        <v>2057</v>
      </c>
      <c r="AL32" s="123">
        <f t="shared" si="7"/>
        <v>2058</v>
      </c>
      <c r="AM32" s="123">
        <f t="shared" si="7"/>
        <v>2059</v>
      </c>
      <c r="AN32" s="123">
        <f t="shared" si="7"/>
        <v>2060</v>
      </c>
      <c r="AO32" s="123">
        <f t="shared" si="7"/>
        <v>2061</v>
      </c>
      <c r="AP32" s="123">
        <f t="shared" si="7"/>
        <v>2062</v>
      </c>
      <c r="AQ32" s="123">
        <f t="shared" si="7"/>
        <v>2063</v>
      </c>
      <c r="AR32" s="123">
        <f t="shared" si="7"/>
        <v>2064</v>
      </c>
      <c r="AS32" s="123">
        <f t="shared" si="7"/>
        <v>2065</v>
      </c>
      <c r="AT32" s="123">
        <f t="shared" si="7"/>
        <v>2066</v>
      </c>
      <c r="AU32" s="123">
        <f t="shared" si="7"/>
        <v>2067</v>
      </c>
      <c r="AV32" s="123">
        <f t="shared" si="7"/>
        <v>2068</v>
      </c>
      <c r="AW32" s="123">
        <f t="shared" si="7"/>
        <v>2069</v>
      </c>
      <c r="AX32" s="123">
        <f t="shared" si="7"/>
        <v>2070</v>
      </c>
      <c r="AY32" s="123">
        <f t="shared" si="7"/>
        <v>2071</v>
      </c>
      <c r="AZ32" s="123">
        <f t="shared" si="7"/>
        <v>2072</v>
      </c>
      <c r="BA32" s="123">
        <f t="shared" si="7"/>
        <v>2073</v>
      </c>
      <c r="BB32" s="123">
        <f t="shared" si="7"/>
        <v>2074</v>
      </c>
      <c r="BC32" s="123">
        <f t="shared" si="7"/>
        <v>2075</v>
      </c>
      <c r="BD32" s="123">
        <f t="shared" si="7"/>
        <v>2076</v>
      </c>
      <c r="BE32" s="123">
        <f t="shared" si="7"/>
        <v>2077</v>
      </c>
      <c r="BF32" s="123">
        <f t="shared" si="7"/>
        <v>2078</v>
      </c>
      <c r="BG32" s="123">
        <f t="shared" si="7"/>
        <v>2079</v>
      </c>
      <c r="BH32" s="123">
        <f t="shared" si="7"/>
        <v>2080</v>
      </c>
      <c r="BI32" s="123">
        <f t="shared" si="7"/>
        <v>2081</v>
      </c>
      <c r="BJ32" s="123">
        <f t="shared" si="7"/>
        <v>2082</v>
      </c>
      <c r="BK32" s="123">
        <f t="shared" si="7"/>
        <v>2083</v>
      </c>
      <c r="BL32" s="72">
        <f>BL7</f>
        <v>2084</v>
      </c>
    </row>
    <row r="33" spans="2:64">
      <c r="B33" s="299" t="s">
        <v>149</v>
      </c>
      <c r="C33" s="73"/>
      <c r="D33" s="300"/>
      <c r="E33" s="301">
        <f>(SUM(D14:E16)/2)*12*E24</f>
        <v>0</v>
      </c>
      <c r="F33" s="301">
        <f t="shared" ref="F33:BL33" si="8">(SUM(E14:F16)/2)*12*F24</f>
        <v>0</v>
      </c>
      <c r="G33" s="301">
        <f t="shared" si="8"/>
        <v>0</v>
      </c>
      <c r="H33" s="301">
        <f t="shared" si="8"/>
        <v>0</v>
      </c>
      <c r="I33" s="301">
        <f t="shared" si="8"/>
        <v>0</v>
      </c>
      <c r="J33" s="301">
        <f t="shared" si="8"/>
        <v>0</v>
      </c>
      <c r="K33" s="301">
        <f t="shared" si="8"/>
        <v>0</v>
      </c>
      <c r="L33" s="301">
        <f t="shared" si="8"/>
        <v>0</v>
      </c>
      <c r="M33" s="301">
        <f t="shared" si="8"/>
        <v>0</v>
      </c>
      <c r="N33" s="301">
        <f t="shared" si="8"/>
        <v>0</v>
      </c>
      <c r="O33" s="301">
        <f t="shared" si="8"/>
        <v>0</v>
      </c>
      <c r="P33" s="301">
        <f t="shared" si="8"/>
        <v>0</v>
      </c>
      <c r="Q33" s="301">
        <f t="shared" si="8"/>
        <v>0</v>
      </c>
      <c r="R33" s="301">
        <f t="shared" si="8"/>
        <v>0</v>
      </c>
      <c r="S33" s="301">
        <f t="shared" si="8"/>
        <v>0</v>
      </c>
      <c r="T33" s="301">
        <f t="shared" si="8"/>
        <v>0</v>
      </c>
      <c r="U33" s="301">
        <f t="shared" si="8"/>
        <v>0</v>
      </c>
      <c r="V33" s="301">
        <f t="shared" si="8"/>
        <v>0</v>
      </c>
      <c r="W33" s="301">
        <f t="shared" si="8"/>
        <v>0</v>
      </c>
      <c r="X33" s="301">
        <f t="shared" si="8"/>
        <v>0</v>
      </c>
      <c r="Y33" s="301">
        <f t="shared" si="8"/>
        <v>0</v>
      </c>
      <c r="Z33" s="301">
        <f t="shared" si="8"/>
        <v>0</v>
      </c>
      <c r="AA33" s="301">
        <f t="shared" si="8"/>
        <v>0</v>
      </c>
      <c r="AB33" s="301">
        <f t="shared" si="8"/>
        <v>0</v>
      </c>
      <c r="AC33" s="301">
        <f t="shared" si="8"/>
        <v>0</v>
      </c>
      <c r="AD33" s="301">
        <f t="shared" si="8"/>
        <v>0</v>
      </c>
      <c r="AE33" s="301">
        <f t="shared" si="8"/>
        <v>0</v>
      </c>
      <c r="AF33" s="301">
        <f t="shared" si="8"/>
        <v>0</v>
      </c>
      <c r="AG33" s="301">
        <f t="shared" si="8"/>
        <v>0</v>
      </c>
      <c r="AH33" s="301">
        <f t="shared" si="8"/>
        <v>0</v>
      </c>
      <c r="AI33" s="301">
        <f t="shared" si="8"/>
        <v>0</v>
      </c>
      <c r="AJ33" s="301">
        <f t="shared" si="8"/>
        <v>0</v>
      </c>
      <c r="AK33" s="301">
        <f t="shared" si="8"/>
        <v>0</v>
      </c>
      <c r="AL33" s="301">
        <f t="shared" si="8"/>
        <v>0</v>
      </c>
      <c r="AM33" s="301">
        <f t="shared" si="8"/>
        <v>0</v>
      </c>
      <c r="AN33" s="301">
        <f t="shared" si="8"/>
        <v>0</v>
      </c>
      <c r="AO33" s="301">
        <f t="shared" si="8"/>
        <v>0</v>
      </c>
      <c r="AP33" s="301">
        <f t="shared" si="8"/>
        <v>0</v>
      </c>
      <c r="AQ33" s="301">
        <f t="shared" si="8"/>
        <v>0</v>
      </c>
      <c r="AR33" s="301">
        <f t="shared" si="8"/>
        <v>0</v>
      </c>
      <c r="AS33" s="301">
        <f t="shared" si="8"/>
        <v>0</v>
      </c>
      <c r="AT33" s="301">
        <f t="shared" si="8"/>
        <v>0</v>
      </c>
      <c r="AU33" s="301">
        <f t="shared" si="8"/>
        <v>0</v>
      </c>
      <c r="AV33" s="301">
        <f t="shared" si="8"/>
        <v>0</v>
      </c>
      <c r="AW33" s="301">
        <f t="shared" si="8"/>
        <v>0</v>
      </c>
      <c r="AX33" s="301">
        <f t="shared" si="8"/>
        <v>0</v>
      </c>
      <c r="AY33" s="301">
        <f t="shared" si="8"/>
        <v>0</v>
      </c>
      <c r="AZ33" s="301">
        <f t="shared" si="8"/>
        <v>0</v>
      </c>
      <c r="BA33" s="301">
        <f t="shared" si="8"/>
        <v>0</v>
      </c>
      <c r="BB33" s="301">
        <f t="shared" si="8"/>
        <v>0</v>
      </c>
      <c r="BC33" s="301">
        <f t="shared" si="8"/>
        <v>0</v>
      </c>
      <c r="BD33" s="301">
        <f t="shared" si="8"/>
        <v>0</v>
      </c>
      <c r="BE33" s="301">
        <f t="shared" si="8"/>
        <v>0</v>
      </c>
      <c r="BF33" s="301">
        <f t="shared" si="8"/>
        <v>0</v>
      </c>
      <c r="BG33" s="301">
        <f t="shared" si="8"/>
        <v>0</v>
      </c>
      <c r="BH33" s="301">
        <f t="shared" si="8"/>
        <v>0</v>
      </c>
      <c r="BI33" s="301">
        <f t="shared" si="8"/>
        <v>0</v>
      </c>
      <c r="BJ33" s="301">
        <f t="shared" si="8"/>
        <v>0</v>
      </c>
      <c r="BK33" s="301">
        <f t="shared" si="8"/>
        <v>0</v>
      </c>
      <c r="BL33" s="302">
        <f t="shared" si="8"/>
        <v>0</v>
      </c>
    </row>
    <row r="34" spans="2:64">
      <c r="B34" s="303" t="s">
        <v>150</v>
      </c>
      <c r="C34" s="132"/>
      <c r="D34" s="293"/>
      <c r="E34" s="294">
        <f>((SUM(D19:E21)/2)*12*E25)</f>
        <v>0</v>
      </c>
      <c r="F34" s="294">
        <f t="shared" ref="F34:BL34" si="9">((SUM(E19:F21)/2)*12*F25)</f>
        <v>0</v>
      </c>
      <c r="G34" s="294">
        <f t="shared" si="9"/>
        <v>0</v>
      </c>
      <c r="H34" s="294">
        <f t="shared" si="9"/>
        <v>0</v>
      </c>
      <c r="I34" s="294">
        <f t="shared" si="9"/>
        <v>0</v>
      </c>
      <c r="J34" s="294">
        <f t="shared" si="9"/>
        <v>0</v>
      </c>
      <c r="K34" s="294">
        <f t="shared" si="9"/>
        <v>0</v>
      </c>
      <c r="L34" s="294">
        <f t="shared" si="9"/>
        <v>0</v>
      </c>
      <c r="M34" s="294">
        <f t="shared" si="9"/>
        <v>0</v>
      </c>
      <c r="N34" s="294">
        <f t="shared" si="9"/>
        <v>0</v>
      </c>
      <c r="O34" s="294">
        <f t="shared" si="9"/>
        <v>0</v>
      </c>
      <c r="P34" s="294">
        <f t="shared" si="9"/>
        <v>0</v>
      </c>
      <c r="Q34" s="294">
        <f t="shared" si="9"/>
        <v>0</v>
      </c>
      <c r="R34" s="294">
        <f t="shared" si="9"/>
        <v>0</v>
      </c>
      <c r="S34" s="294">
        <f t="shared" si="9"/>
        <v>0</v>
      </c>
      <c r="T34" s="294">
        <f t="shared" si="9"/>
        <v>0</v>
      </c>
      <c r="U34" s="294">
        <f t="shared" si="9"/>
        <v>0</v>
      </c>
      <c r="V34" s="294">
        <f t="shared" si="9"/>
        <v>0</v>
      </c>
      <c r="W34" s="294">
        <f t="shared" si="9"/>
        <v>0</v>
      </c>
      <c r="X34" s="294">
        <f t="shared" si="9"/>
        <v>0</v>
      </c>
      <c r="Y34" s="294">
        <f t="shared" si="9"/>
        <v>0</v>
      </c>
      <c r="Z34" s="294">
        <f t="shared" si="9"/>
        <v>0</v>
      </c>
      <c r="AA34" s="294">
        <f t="shared" si="9"/>
        <v>0</v>
      </c>
      <c r="AB34" s="294">
        <f t="shared" si="9"/>
        <v>0</v>
      </c>
      <c r="AC34" s="294">
        <f t="shared" si="9"/>
        <v>0</v>
      </c>
      <c r="AD34" s="294">
        <f t="shared" si="9"/>
        <v>0</v>
      </c>
      <c r="AE34" s="294">
        <f t="shared" si="9"/>
        <v>0</v>
      </c>
      <c r="AF34" s="294">
        <f t="shared" si="9"/>
        <v>0</v>
      </c>
      <c r="AG34" s="294">
        <f t="shared" si="9"/>
        <v>0</v>
      </c>
      <c r="AH34" s="294">
        <f t="shared" si="9"/>
        <v>0</v>
      </c>
      <c r="AI34" s="294">
        <f t="shared" si="9"/>
        <v>0</v>
      </c>
      <c r="AJ34" s="294">
        <f t="shared" si="9"/>
        <v>0</v>
      </c>
      <c r="AK34" s="294">
        <f t="shared" si="9"/>
        <v>0</v>
      </c>
      <c r="AL34" s="294">
        <f t="shared" si="9"/>
        <v>0</v>
      </c>
      <c r="AM34" s="294">
        <f t="shared" si="9"/>
        <v>0</v>
      </c>
      <c r="AN34" s="294">
        <f t="shared" si="9"/>
        <v>0</v>
      </c>
      <c r="AO34" s="294">
        <f t="shared" si="9"/>
        <v>0</v>
      </c>
      <c r="AP34" s="294">
        <f t="shared" si="9"/>
        <v>0</v>
      </c>
      <c r="AQ34" s="294">
        <f t="shared" si="9"/>
        <v>0</v>
      </c>
      <c r="AR34" s="294">
        <f t="shared" si="9"/>
        <v>0</v>
      </c>
      <c r="AS34" s="294">
        <f t="shared" si="9"/>
        <v>0</v>
      </c>
      <c r="AT34" s="294">
        <f t="shared" si="9"/>
        <v>0</v>
      </c>
      <c r="AU34" s="294">
        <f t="shared" si="9"/>
        <v>0</v>
      </c>
      <c r="AV34" s="294">
        <f t="shared" si="9"/>
        <v>0</v>
      </c>
      <c r="AW34" s="294">
        <f t="shared" si="9"/>
        <v>0</v>
      </c>
      <c r="AX34" s="294">
        <f t="shared" si="9"/>
        <v>0</v>
      </c>
      <c r="AY34" s="294">
        <f t="shared" si="9"/>
        <v>0</v>
      </c>
      <c r="AZ34" s="294">
        <f t="shared" si="9"/>
        <v>0</v>
      </c>
      <c r="BA34" s="294">
        <f t="shared" si="9"/>
        <v>0</v>
      </c>
      <c r="BB34" s="294">
        <f t="shared" si="9"/>
        <v>0</v>
      </c>
      <c r="BC34" s="294">
        <f t="shared" si="9"/>
        <v>0</v>
      </c>
      <c r="BD34" s="294">
        <f t="shared" si="9"/>
        <v>0</v>
      </c>
      <c r="BE34" s="294">
        <f t="shared" si="9"/>
        <v>0</v>
      </c>
      <c r="BF34" s="294">
        <f t="shared" si="9"/>
        <v>0</v>
      </c>
      <c r="BG34" s="294">
        <f t="shared" si="9"/>
        <v>0</v>
      </c>
      <c r="BH34" s="294">
        <f t="shared" si="9"/>
        <v>0</v>
      </c>
      <c r="BI34" s="294">
        <f t="shared" si="9"/>
        <v>0</v>
      </c>
      <c r="BJ34" s="294">
        <f t="shared" si="9"/>
        <v>0</v>
      </c>
      <c r="BK34" s="294">
        <f t="shared" si="9"/>
        <v>0</v>
      </c>
      <c r="BL34" s="304">
        <f t="shared" si="9"/>
        <v>0</v>
      </c>
    </row>
    <row r="35" spans="2:64">
      <c r="B35" s="303" t="s">
        <v>151</v>
      </c>
      <c r="C35" s="132"/>
      <c r="D35" s="293"/>
      <c r="E35" s="298">
        <f>-SUM(E33:E34)*'Hulpblad - Uitgangspunten'!$D$25</f>
        <v>0</v>
      </c>
      <c r="F35" s="298">
        <f>-SUM(F33:F34)*'Hulpblad - Uitgangspunten'!$D$25</f>
        <v>0</v>
      </c>
      <c r="G35" s="298">
        <f>-SUM(G33:G34)*'Hulpblad - Uitgangspunten'!$D$25</f>
        <v>0</v>
      </c>
      <c r="H35" s="298">
        <f>-SUM(H33:H34)*'Hulpblad - Uitgangspunten'!$D$25</f>
        <v>0</v>
      </c>
      <c r="I35" s="298">
        <f>-SUM(I33:I34)*'Hulpblad - Uitgangspunten'!$D$25</f>
        <v>0</v>
      </c>
      <c r="J35" s="298">
        <f>-SUM(J33:J34)*'Hulpblad - Uitgangspunten'!$D$25</f>
        <v>0</v>
      </c>
      <c r="K35" s="298">
        <f>-SUM(K33:K34)*'Hulpblad - Uitgangspunten'!$D$25</f>
        <v>0</v>
      </c>
      <c r="L35" s="298">
        <f>-SUM(L33:L34)*'Hulpblad - Uitgangspunten'!$D$25</f>
        <v>0</v>
      </c>
      <c r="M35" s="298">
        <f>-SUM(M33:M34)*'Hulpblad - Uitgangspunten'!$D$25</f>
        <v>0</v>
      </c>
      <c r="N35" s="298">
        <f>-SUM(N33:N34)*'Hulpblad - Uitgangspunten'!$D$25</f>
        <v>0</v>
      </c>
      <c r="O35" s="298">
        <f>-SUM(O33:O34)*'Hulpblad - Uitgangspunten'!$D$25</f>
        <v>0</v>
      </c>
      <c r="P35" s="298">
        <f>-SUM(P33:P34)*'Hulpblad - Uitgangspunten'!$D$25</f>
        <v>0</v>
      </c>
      <c r="Q35" s="298">
        <f>-SUM(Q33:Q34)*'Hulpblad - Uitgangspunten'!$D$25</f>
        <v>0</v>
      </c>
      <c r="R35" s="298">
        <f>-SUM(R33:R34)*'Hulpblad - Uitgangspunten'!$D$25</f>
        <v>0</v>
      </c>
      <c r="S35" s="298">
        <f>-SUM(S33:S34)*'Hulpblad - Uitgangspunten'!$D$25</f>
        <v>0</v>
      </c>
      <c r="T35" s="298">
        <f>-SUM(T33:T34)*'Hulpblad - Uitgangspunten'!$D$25</f>
        <v>0</v>
      </c>
      <c r="U35" s="298">
        <f>-SUM(U33:U34)*'Hulpblad - Uitgangspunten'!$D$25</f>
        <v>0</v>
      </c>
      <c r="V35" s="298">
        <f>-SUM(V33:V34)*'Hulpblad - Uitgangspunten'!$D$25</f>
        <v>0</v>
      </c>
      <c r="W35" s="298">
        <f>-SUM(W33:W34)*'Hulpblad - Uitgangspunten'!$D$25</f>
        <v>0</v>
      </c>
      <c r="X35" s="298">
        <f>-SUM(X33:X34)*'Hulpblad - Uitgangspunten'!$D$25</f>
        <v>0</v>
      </c>
      <c r="Y35" s="298">
        <f>-SUM(Y33:Y34)*'Hulpblad - Uitgangspunten'!$D$25</f>
        <v>0</v>
      </c>
      <c r="Z35" s="298">
        <f>-SUM(Z33:Z34)*'Hulpblad - Uitgangspunten'!$D$25</f>
        <v>0</v>
      </c>
      <c r="AA35" s="298">
        <f>-SUM(AA33:AA34)*'Hulpblad - Uitgangspunten'!$D$25</f>
        <v>0</v>
      </c>
      <c r="AB35" s="298">
        <f>-SUM(AB33:AB34)*'Hulpblad - Uitgangspunten'!$D$25</f>
        <v>0</v>
      </c>
      <c r="AC35" s="298">
        <f>-SUM(AC33:AC34)*'Hulpblad - Uitgangspunten'!$D$25</f>
        <v>0</v>
      </c>
      <c r="AD35" s="298">
        <f>-SUM(AD33:AD34)*'Hulpblad - Uitgangspunten'!$D$25</f>
        <v>0</v>
      </c>
      <c r="AE35" s="298">
        <f>-SUM(AE33:AE34)*'Hulpblad - Uitgangspunten'!$D$25</f>
        <v>0</v>
      </c>
      <c r="AF35" s="298">
        <f>-SUM(AF33:AF34)*'Hulpblad - Uitgangspunten'!$D$25</f>
        <v>0</v>
      </c>
      <c r="AG35" s="298">
        <f>-SUM(AG33:AG34)*'Hulpblad - Uitgangspunten'!$D$25</f>
        <v>0</v>
      </c>
      <c r="AH35" s="298">
        <f>-SUM(AH33:AH34)*'Hulpblad - Uitgangspunten'!$D$25</f>
        <v>0</v>
      </c>
      <c r="AI35" s="298">
        <f>-SUM(AI33:AI34)*'Hulpblad - Uitgangspunten'!$D$25</f>
        <v>0</v>
      </c>
      <c r="AJ35" s="298">
        <f>-SUM(AJ33:AJ34)*'Hulpblad - Uitgangspunten'!$D$25</f>
        <v>0</v>
      </c>
      <c r="AK35" s="298">
        <f>-SUM(AK33:AK34)*'Hulpblad - Uitgangspunten'!$D$25</f>
        <v>0</v>
      </c>
      <c r="AL35" s="298">
        <f>-SUM(AL33:AL34)*'Hulpblad - Uitgangspunten'!$D$25</f>
        <v>0</v>
      </c>
      <c r="AM35" s="298">
        <f>-SUM(AM33:AM34)*'Hulpblad - Uitgangspunten'!$D$25</f>
        <v>0</v>
      </c>
      <c r="AN35" s="298">
        <f>-SUM(AN33:AN34)*'Hulpblad - Uitgangspunten'!$D$25</f>
        <v>0</v>
      </c>
      <c r="AO35" s="298">
        <f>-SUM(AO33:AO34)*'Hulpblad - Uitgangspunten'!$D$25</f>
        <v>0</v>
      </c>
      <c r="AP35" s="298">
        <f>-SUM(AP33:AP34)*'Hulpblad - Uitgangspunten'!$D$25</f>
        <v>0</v>
      </c>
      <c r="AQ35" s="298">
        <f>-SUM(AQ33:AQ34)*'Hulpblad - Uitgangspunten'!$D$25</f>
        <v>0</v>
      </c>
      <c r="AR35" s="298">
        <f>-SUM(AR33:AR34)*'Hulpblad - Uitgangspunten'!$D$25</f>
        <v>0</v>
      </c>
      <c r="AS35" s="298">
        <f>-SUM(AS33:AS34)*'Hulpblad - Uitgangspunten'!$D$25</f>
        <v>0</v>
      </c>
      <c r="AT35" s="298">
        <f>-SUM(AT33:AT34)*'Hulpblad - Uitgangspunten'!$D$25</f>
        <v>0</v>
      </c>
      <c r="AU35" s="298">
        <f>-SUM(AU33:AU34)*'Hulpblad - Uitgangspunten'!$D$25</f>
        <v>0</v>
      </c>
      <c r="AV35" s="298">
        <f>-SUM(AV33:AV34)*'Hulpblad - Uitgangspunten'!$D$25</f>
        <v>0</v>
      </c>
      <c r="AW35" s="298">
        <f>-SUM(AW33:AW34)*'Hulpblad - Uitgangspunten'!$D$25</f>
        <v>0</v>
      </c>
      <c r="AX35" s="298">
        <f>-SUM(AX33:AX34)*'Hulpblad - Uitgangspunten'!$D$25</f>
        <v>0</v>
      </c>
      <c r="AY35" s="298">
        <f>-SUM(AY33:AY34)*'Hulpblad - Uitgangspunten'!$D$25</f>
        <v>0</v>
      </c>
      <c r="AZ35" s="298">
        <f>-SUM(AZ33:AZ34)*'Hulpblad - Uitgangspunten'!$D$25</f>
        <v>0</v>
      </c>
      <c r="BA35" s="298">
        <f>-SUM(BA33:BA34)*'Hulpblad - Uitgangspunten'!$D$25</f>
        <v>0</v>
      </c>
      <c r="BB35" s="298">
        <f>-SUM(BB33:BB34)*'Hulpblad - Uitgangspunten'!$D$25</f>
        <v>0</v>
      </c>
      <c r="BC35" s="298">
        <f>-SUM(BC33:BC34)*'Hulpblad - Uitgangspunten'!$D$25</f>
        <v>0</v>
      </c>
      <c r="BD35" s="298">
        <f>-SUM(BD33:BD34)*'Hulpblad - Uitgangspunten'!$D$25</f>
        <v>0</v>
      </c>
      <c r="BE35" s="298">
        <f>-SUM(BE33:BE34)*'Hulpblad - Uitgangspunten'!$D$25</f>
        <v>0</v>
      </c>
      <c r="BF35" s="298">
        <f>-SUM(BF33:BF34)*'Hulpblad - Uitgangspunten'!$D$25</f>
        <v>0</v>
      </c>
      <c r="BG35" s="298">
        <f>-SUM(BG33:BG34)*'Hulpblad - Uitgangspunten'!$D$25</f>
        <v>0</v>
      </c>
      <c r="BH35" s="298">
        <f>-SUM(BH33:BH34)*'Hulpblad - Uitgangspunten'!$D$25</f>
        <v>0</v>
      </c>
      <c r="BI35" s="298">
        <f>-SUM(BI33:BI34)*'Hulpblad - Uitgangspunten'!$D$25</f>
        <v>0</v>
      </c>
      <c r="BJ35" s="298">
        <f>-SUM(BJ33:BJ34)*'Hulpblad - Uitgangspunten'!$D$25</f>
        <v>0</v>
      </c>
      <c r="BK35" s="298">
        <f>-SUM(BK33:BK34)*'Hulpblad - Uitgangspunten'!$D$25</f>
        <v>0</v>
      </c>
      <c r="BL35" s="305">
        <f>-SUM(BL33:BL34)*'Hulpblad - Uitgangspunten'!$D$25</f>
        <v>0</v>
      </c>
    </row>
    <row r="36" spans="2:64">
      <c r="B36" s="17" t="s">
        <v>152</v>
      </c>
      <c r="C36" s="295"/>
      <c r="D36" s="294"/>
      <c r="E36" s="294">
        <f>SUM(E33:E35)</f>
        <v>0</v>
      </c>
      <c r="F36" s="294">
        <f t="shared" ref="F36:BL36" si="10">SUM(F33:F35)</f>
        <v>0</v>
      </c>
      <c r="G36" s="294">
        <f t="shared" si="10"/>
        <v>0</v>
      </c>
      <c r="H36" s="294">
        <f t="shared" si="10"/>
        <v>0</v>
      </c>
      <c r="I36" s="294">
        <f t="shared" si="10"/>
        <v>0</v>
      </c>
      <c r="J36" s="294">
        <f t="shared" si="10"/>
        <v>0</v>
      </c>
      <c r="K36" s="294">
        <f t="shared" si="10"/>
        <v>0</v>
      </c>
      <c r="L36" s="294">
        <f t="shared" si="10"/>
        <v>0</v>
      </c>
      <c r="M36" s="294">
        <f t="shared" si="10"/>
        <v>0</v>
      </c>
      <c r="N36" s="294">
        <f t="shared" si="10"/>
        <v>0</v>
      </c>
      <c r="O36" s="294">
        <f t="shared" si="10"/>
        <v>0</v>
      </c>
      <c r="P36" s="294">
        <f t="shared" si="10"/>
        <v>0</v>
      </c>
      <c r="Q36" s="294">
        <f t="shared" si="10"/>
        <v>0</v>
      </c>
      <c r="R36" s="294">
        <f t="shared" si="10"/>
        <v>0</v>
      </c>
      <c r="S36" s="294">
        <f t="shared" si="10"/>
        <v>0</v>
      </c>
      <c r="T36" s="294">
        <f t="shared" si="10"/>
        <v>0</v>
      </c>
      <c r="U36" s="294">
        <f t="shared" si="10"/>
        <v>0</v>
      </c>
      <c r="V36" s="294">
        <f t="shared" si="10"/>
        <v>0</v>
      </c>
      <c r="W36" s="294">
        <f t="shared" si="10"/>
        <v>0</v>
      </c>
      <c r="X36" s="294">
        <f t="shared" si="10"/>
        <v>0</v>
      </c>
      <c r="Y36" s="294">
        <f t="shared" si="10"/>
        <v>0</v>
      </c>
      <c r="Z36" s="294">
        <f t="shared" si="10"/>
        <v>0</v>
      </c>
      <c r="AA36" s="294">
        <f t="shared" si="10"/>
        <v>0</v>
      </c>
      <c r="AB36" s="294">
        <f t="shared" si="10"/>
        <v>0</v>
      </c>
      <c r="AC36" s="294">
        <f t="shared" si="10"/>
        <v>0</v>
      </c>
      <c r="AD36" s="294">
        <f t="shared" si="10"/>
        <v>0</v>
      </c>
      <c r="AE36" s="294">
        <f t="shared" si="10"/>
        <v>0</v>
      </c>
      <c r="AF36" s="294">
        <f t="shared" si="10"/>
        <v>0</v>
      </c>
      <c r="AG36" s="294">
        <f t="shared" si="10"/>
        <v>0</v>
      </c>
      <c r="AH36" s="294">
        <f t="shared" si="10"/>
        <v>0</v>
      </c>
      <c r="AI36" s="294">
        <f t="shared" si="10"/>
        <v>0</v>
      </c>
      <c r="AJ36" s="294">
        <f t="shared" si="10"/>
        <v>0</v>
      </c>
      <c r="AK36" s="294">
        <f t="shared" si="10"/>
        <v>0</v>
      </c>
      <c r="AL36" s="294">
        <f t="shared" si="10"/>
        <v>0</v>
      </c>
      <c r="AM36" s="294">
        <f t="shared" si="10"/>
        <v>0</v>
      </c>
      <c r="AN36" s="294">
        <f t="shared" si="10"/>
        <v>0</v>
      </c>
      <c r="AO36" s="294">
        <f t="shared" si="10"/>
        <v>0</v>
      </c>
      <c r="AP36" s="294">
        <f t="shared" si="10"/>
        <v>0</v>
      </c>
      <c r="AQ36" s="294">
        <f t="shared" si="10"/>
        <v>0</v>
      </c>
      <c r="AR36" s="294">
        <f t="shared" si="10"/>
        <v>0</v>
      </c>
      <c r="AS36" s="294">
        <f t="shared" si="10"/>
        <v>0</v>
      </c>
      <c r="AT36" s="294">
        <f t="shared" si="10"/>
        <v>0</v>
      </c>
      <c r="AU36" s="294">
        <f t="shared" si="10"/>
        <v>0</v>
      </c>
      <c r="AV36" s="294">
        <f t="shared" si="10"/>
        <v>0</v>
      </c>
      <c r="AW36" s="294">
        <f t="shared" si="10"/>
        <v>0</v>
      </c>
      <c r="AX36" s="294">
        <f t="shared" si="10"/>
        <v>0</v>
      </c>
      <c r="AY36" s="294">
        <f t="shared" si="10"/>
        <v>0</v>
      </c>
      <c r="AZ36" s="294">
        <f t="shared" si="10"/>
        <v>0</v>
      </c>
      <c r="BA36" s="294">
        <f t="shared" si="10"/>
        <v>0</v>
      </c>
      <c r="BB36" s="294">
        <f t="shared" si="10"/>
        <v>0</v>
      </c>
      <c r="BC36" s="294">
        <f t="shared" si="10"/>
        <v>0</v>
      </c>
      <c r="BD36" s="294">
        <f t="shared" si="10"/>
        <v>0</v>
      </c>
      <c r="BE36" s="294">
        <f t="shared" si="10"/>
        <v>0</v>
      </c>
      <c r="BF36" s="294">
        <f t="shared" si="10"/>
        <v>0</v>
      </c>
      <c r="BG36" s="294">
        <f t="shared" si="10"/>
        <v>0</v>
      </c>
      <c r="BH36" s="294">
        <f t="shared" si="10"/>
        <v>0</v>
      </c>
      <c r="BI36" s="294">
        <f t="shared" si="10"/>
        <v>0</v>
      </c>
      <c r="BJ36" s="294">
        <f t="shared" si="10"/>
        <v>0</v>
      </c>
      <c r="BK36" s="294">
        <f t="shared" si="10"/>
        <v>0</v>
      </c>
      <c r="BL36" s="304">
        <f t="shared" si="10"/>
        <v>0</v>
      </c>
    </row>
    <row r="37" spans="2:64">
      <c r="B37" s="17"/>
      <c r="C37" s="295"/>
      <c r="D37" s="294"/>
      <c r="E37" s="296"/>
      <c r="F37" s="296"/>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47"/>
    </row>
    <row r="38" spans="2:64">
      <c r="B38" s="303" t="s">
        <v>146</v>
      </c>
      <c r="C38" s="295"/>
      <c r="D38" s="293"/>
      <c r="E38" s="294">
        <f>((D29+E29)/2)*'Woco - Project'!$C$11</f>
        <v>0</v>
      </c>
      <c r="F38" s="294">
        <f>((E29+F29)/2)*'Woco - Project'!$C$11</f>
        <v>0</v>
      </c>
      <c r="G38" s="294">
        <f>((F29+G29)/2)*'Woco - Project'!$C$11</f>
        <v>0</v>
      </c>
      <c r="H38" s="294">
        <f>((G29+H29)/2)*'Woco - Project'!$C$11</f>
        <v>0</v>
      </c>
      <c r="I38" s="294">
        <f>((H29+I29)/2)*'Woco - Project'!$C$11</f>
        <v>0</v>
      </c>
      <c r="J38" s="294">
        <f>((I29+J29)/2)*'Woco - Project'!$C$11</f>
        <v>0</v>
      </c>
      <c r="K38" s="294">
        <f>((J29+K29)/2)*'Woco - Project'!$C$11</f>
        <v>0</v>
      </c>
      <c r="L38" s="294">
        <f>((K29+L29)/2)*'Woco - Project'!$C$11</f>
        <v>0</v>
      </c>
      <c r="M38" s="294">
        <f>((L29+M29)/2)*'Woco - Project'!$C$11</f>
        <v>0</v>
      </c>
      <c r="N38" s="294">
        <f>((M29+N29)/2)*'Woco - Project'!$C$11</f>
        <v>0</v>
      </c>
      <c r="O38" s="294">
        <f>((N29+O29)/2)*'Woco - Project'!$C$11</f>
        <v>0</v>
      </c>
      <c r="P38" s="294">
        <f>((O29+P29)/2)*'Woco - Project'!$C$11</f>
        <v>0</v>
      </c>
      <c r="Q38" s="294">
        <f>((P29+Q29)/2)*'Woco - Project'!$C$11</f>
        <v>0</v>
      </c>
      <c r="R38" s="294">
        <f>((Q29+R29)/2)*'Woco - Project'!$C$11</f>
        <v>0</v>
      </c>
      <c r="S38" s="294">
        <f>((R29+S29)/2)*'Woco - Project'!$C$11</f>
        <v>0</v>
      </c>
      <c r="T38" s="294">
        <f>((S29+T29)/2)*'Woco - Project'!$C$11</f>
        <v>0</v>
      </c>
      <c r="U38" s="294">
        <f>((T29+U29)/2)*'Woco - Project'!$C$11</f>
        <v>0</v>
      </c>
      <c r="V38" s="294">
        <f>((U29+V29)/2)*'Woco - Project'!$C$11</f>
        <v>0</v>
      </c>
      <c r="W38" s="294">
        <f>((V29+W29)/2)*'Woco - Project'!$C$11</f>
        <v>0</v>
      </c>
      <c r="X38" s="294">
        <f>((W29+X29)/2)*'Woco - Project'!$C$11</f>
        <v>0</v>
      </c>
      <c r="Y38" s="294">
        <f>((X29+Y29)/2)*'Woco - Project'!$C$11</f>
        <v>0</v>
      </c>
      <c r="Z38" s="294">
        <f>((Y29+Z29)/2)*'Woco - Project'!$C$11</f>
        <v>0</v>
      </c>
      <c r="AA38" s="294">
        <f>((Z29+AA29)/2)*'Woco - Project'!$C$11</f>
        <v>0</v>
      </c>
      <c r="AB38" s="294">
        <f>((AA29+AB29)/2)*'Woco - Project'!$C$11</f>
        <v>0</v>
      </c>
      <c r="AC38" s="294">
        <f>((AB29+AC29)/2)*'Woco - Project'!$C$11</f>
        <v>0</v>
      </c>
      <c r="AD38" s="294">
        <f>((AC29+AD29)/2)*'Woco - Project'!$C$11</f>
        <v>0</v>
      </c>
      <c r="AE38" s="294">
        <f>((AD29+AE29)/2)*'Woco - Project'!$C$11</f>
        <v>0</v>
      </c>
      <c r="AF38" s="294">
        <f>((AE29+AF29)/2)*'Woco - Project'!$C$11</f>
        <v>0</v>
      </c>
      <c r="AG38" s="294">
        <f>((AF29+AG29)/2)*'Woco - Project'!$C$11</f>
        <v>0</v>
      </c>
      <c r="AH38" s="294">
        <f>((AG29+AH29)/2)*'Woco - Project'!$C$11</f>
        <v>0</v>
      </c>
      <c r="AI38" s="294">
        <f>((AH29+AI29)/2)*'Woco - Project'!$C$11</f>
        <v>0</v>
      </c>
      <c r="AJ38" s="294">
        <f>((AI29+AJ29)/2)*'Woco - Project'!$C$11</f>
        <v>0</v>
      </c>
      <c r="AK38" s="294">
        <f>((AJ29+AK29)/2)*'Woco - Project'!$C$11</f>
        <v>0</v>
      </c>
      <c r="AL38" s="294">
        <f>((AK29+AL29)/2)*'Woco - Project'!$C$11</f>
        <v>0</v>
      </c>
      <c r="AM38" s="294">
        <f>((AL29+AM29)/2)*'Woco - Project'!$C$11</f>
        <v>0</v>
      </c>
      <c r="AN38" s="294">
        <f>((AM29+AN29)/2)*'Woco - Project'!$C$11</f>
        <v>0</v>
      </c>
      <c r="AO38" s="294">
        <f>((AN29+AO29)/2)*'Woco - Project'!$C$11</f>
        <v>0</v>
      </c>
      <c r="AP38" s="294">
        <f>((AO29+AP29)/2)*'Woco - Project'!$C$11</f>
        <v>0</v>
      </c>
      <c r="AQ38" s="294">
        <f>((AP29+AQ29)/2)*'Woco - Project'!$C$11</f>
        <v>0</v>
      </c>
      <c r="AR38" s="294">
        <f>((AQ29+AR29)/2)*'Woco - Project'!$C$11</f>
        <v>0</v>
      </c>
      <c r="AS38" s="294">
        <f>((AR29+AS29)/2)*'Woco - Project'!$C$11</f>
        <v>0</v>
      </c>
      <c r="AT38" s="294">
        <f>((AS29+AT29)/2)*'Woco - Project'!$C$11</f>
        <v>0</v>
      </c>
      <c r="AU38" s="294">
        <f>((AT29+AU29)/2)*'Woco - Project'!$C$11</f>
        <v>0</v>
      </c>
      <c r="AV38" s="294">
        <f>((AU29+AV29)/2)*'Woco - Project'!$C$11</f>
        <v>0</v>
      </c>
      <c r="AW38" s="294">
        <f>((AV29+AW29)/2)*'Woco - Project'!$C$11</f>
        <v>0</v>
      </c>
      <c r="AX38" s="294">
        <f>((AW29+AX29)/2)*'Woco - Project'!$C$11</f>
        <v>0</v>
      </c>
      <c r="AY38" s="294">
        <f>((AX29+AY29)/2)*'Woco - Project'!$C$11</f>
        <v>0</v>
      </c>
      <c r="AZ38" s="294">
        <f>((AY29+AZ29)/2)*'Woco - Project'!$C$11</f>
        <v>0</v>
      </c>
      <c r="BA38" s="294">
        <f>((AZ29+BA29)/2)*'Woco - Project'!$C$11</f>
        <v>0</v>
      </c>
      <c r="BB38" s="294">
        <f>((BA29+BB29)/2)*'Woco - Project'!$C$11</f>
        <v>0</v>
      </c>
      <c r="BC38" s="294">
        <f>((BB29+BC29)/2)*'Woco - Project'!$C$11</f>
        <v>0</v>
      </c>
      <c r="BD38" s="294">
        <f>((BC29+BD29)/2)*'Woco - Project'!$C$11</f>
        <v>0</v>
      </c>
      <c r="BE38" s="294">
        <f>((BD29+BE29)/2)*'Woco - Project'!$C$11</f>
        <v>0</v>
      </c>
      <c r="BF38" s="294">
        <f>((BE29+BF29)/2)*'Woco - Project'!$C$11</f>
        <v>0</v>
      </c>
      <c r="BG38" s="294">
        <f>((BF29+BG29)/2)*'Woco - Project'!$C$11</f>
        <v>0</v>
      </c>
      <c r="BH38" s="294">
        <f>((BG29+BH29)/2)*'Woco - Project'!$C$11</f>
        <v>0</v>
      </c>
      <c r="BI38" s="294">
        <f>((BH29+BI29)/2)*'Woco - Project'!$C$11</f>
        <v>0</v>
      </c>
      <c r="BJ38" s="294">
        <f>((BI29+BJ29)/2)*'Woco - Project'!$C$11</f>
        <v>0</v>
      </c>
      <c r="BK38" s="294">
        <f>((BJ29+BK29)/2)*'Woco - Project'!$C$11</f>
        <v>0</v>
      </c>
      <c r="BL38" s="304">
        <f>((BK29+BL29)/2)*'Woco - Project'!$C$11</f>
        <v>0</v>
      </c>
    </row>
    <row r="39" spans="2:64">
      <c r="B39" s="303" t="s">
        <v>147</v>
      </c>
      <c r="C39" s="295"/>
      <c r="D39" s="293"/>
      <c r="E39" s="298">
        <f>((D30+E30)/2)*'Woco - Project'!$C$11</f>
        <v>0</v>
      </c>
      <c r="F39" s="298">
        <f>((E30+F30)/2)*'Woco - Project'!$C$11</f>
        <v>0</v>
      </c>
      <c r="G39" s="298">
        <f>((F30+G30)/2)*'Woco - Project'!$C$11</f>
        <v>0</v>
      </c>
      <c r="H39" s="298">
        <f>((G30+H30)/2)*'Woco - Project'!$C$11</f>
        <v>0</v>
      </c>
      <c r="I39" s="298">
        <f>((H30+I30)/2)*'Woco - Project'!$C$11</f>
        <v>0</v>
      </c>
      <c r="J39" s="298">
        <f>((I30+J30)/2)*'Woco - Project'!$C$11</f>
        <v>0</v>
      </c>
      <c r="K39" s="298">
        <f>((J30+K30)/2)*'Woco - Project'!$C$11</f>
        <v>0</v>
      </c>
      <c r="L39" s="298">
        <f>((K30+L30)/2)*'Woco - Project'!$C$11</f>
        <v>0</v>
      </c>
      <c r="M39" s="298">
        <f>((L30+M30)/2)*'Woco - Project'!$C$11</f>
        <v>0</v>
      </c>
      <c r="N39" s="298">
        <f>((M30+N30)/2)*'Woco - Project'!$C$11</f>
        <v>0</v>
      </c>
      <c r="O39" s="298">
        <f>((N30+O30)/2)*'Woco - Project'!$C$11</f>
        <v>0</v>
      </c>
      <c r="P39" s="298">
        <f>((O30+P30)/2)*'Woco - Project'!$C$11</f>
        <v>0</v>
      </c>
      <c r="Q39" s="298">
        <f>((P30+Q30)/2)*'Woco - Project'!$C$11</f>
        <v>0</v>
      </c>
      <c r="R39" s="298">
        <f>((Q30+R30)/2)*'Woco - Project'!$C$11</f>
        <v>0</v>
      </c>
      <c r="S39" s="298">
        <f>((R30+S30)/2)*'Woco - Project'!$C$11</f>
        <v>0</v>
      </c>
      <c r="T39" s="298">
        <f>((S30+T30)/2)*'Woco - Project'!$C$11</f>
        <v>0</v>
      </c>
      <c r="U39" s="298">
        <f>((T30+U30)/2)*'Woco - Project'!$C$11</f>
        <v>0</v>
      </c>
      <c r="V39" s="298">
        <f>((U30+V30)/2)*'Woco - Project'!$C$11</f>
        <v>0</v>
      </c>
      <c r="W39" s="298">
        <f>((V30+W30)/2)*'Woco - Project'!$C$11</f>
        <v>0</v>
      </c>
      <c r="X39" s="298">
        <f>((W30+X30)/2)*'Woco - Project'!$C$11</f>
        <v>0</v>
      </c>
      <c r="Y39" s="298">
        <f>((X30+Y30)/2)*'Woco - Project'!$C$11</f>
        <v>0</v>
      </c>
      <c r="Z39" s="298">
        <f>((Y30+Z30)/2)*'Woco - Project'!$C$11</f>
        <v>0</v>
      </c>
      <c r="AA39" s="298">
        <f>((Z30+AA30)/2)*'Woco - Project'!$C$11</f>
        <v>0</v>
      </c>
      <c r="AB39" s="298">
        <f>((AA30+AB30)/2)*'Woco - Project'!$C$11</f>
        <v>0</v>
      </c>
      <c r="AC39" s="298">
        <f>((AB30+AC30)/2)*'Woco - Project'!$C$11</f>
        <v>0</v>
      </c>
      <c r="AD39" s="298">
        <f>((AC30+AD30)/2)*'Woco - Project'!$C$11</f>
        <v>0</v>
      </c>
      <c r="AE39" s="298">
        <f>((AD30+AE30)/2)*'Woco - Project'!$C$11</f>
        <v>0</v>
      </c>
      <c r="AF39" s="298">
        <f>((AE30+AF30)/2)*'Woco - Project'!$C$11</f>
        <v>0</v>
      </c>
      <c r="AG39" s="298">
        <f>((AF30+AG30)/2)*'Woco - Project'!$C$11</f>
        <v>0</v>
      </c>
      <c r="AH39" s="298">
        <f>((AG30+AH30)/2)*'Woco - Project'!$C$11</f>
        <v>0</v>
      </c>
      <c r="AI39" s="298">
        <f>((AH30+AI30)/2)*'Woco - Project'!$C$11</f>
        <v>0</v>
      </c>
      <c r="AJ39" s="298">
        <f>((AI30+AJ30)/2)*'Woco - Project'!$C$11</f>
        <v>0</v>
      </c>
      <c r="AK39" s="298">
        <f>((AJ30+AK30)/2)*'Woco - Project'!$C$11</f>
        <v>0</v>
      </c>
      <c r="AL39" s="298">
        <f>((AK30+AL30)/2)*'Woco - Project'!$C$11</f>
        <v>0</v>
      </c>
      <c r="AM39" s="298">
        <f>((AL30+AM30)/2)*'Woco - Project'!$C$11</f>
        <v>0</v>
      </c>
      <c r="AN39" s="298">
        <f>((AM30+AN30)/2)*'Woco - Project'!$C$11</f>
        <v>0</v>
      </c>
      <c r="AO39" s="298">
        <f>((AN30+AO30)/2)*'Woco - Project'!$C$11</f>
        <v>0</v>
      </c>
      <c r="AP39" s="298">
        <f>((AO30+AP30)/2)*'Woco - Project'!$C$11</f>
        <v>0</v>
      </c>
      <c r="AQ39" s="298">
        <f>((AP30+AQ30)/2)*'Woco - Project'!$C$11</f>
        <v>0</v>
      </c>
      <c r="AR39" s="298">
        <f>((AQ30+AR30)/2)*'Woco - Project'!$C$11</f>
        <v>0</v>
      </c>
      <c r="AS39" s="298">
        <f>((AR30+AS30)/2)*'Woco - Project'!$C$11</f>
        <v>0</v>
      </c>
      <c r="AT39" s="298">
        <f>((AS30+AT30)/2)*'Woco - Project'!$C$11</f>
        <v>0</v>
      </c>
      <c r="AU39" s="298">
        <f>((AT30+AU30)/2)*'Woco - Project'!$C$11</f>
        <v>0</v>
      </c>
      <c r="AV39" s="298">
        <f>((AU30+AV30)/2)*'Woco - Project'!$C$11</f>
        <v>0</v>
      </c>
      <c r="AW39" s="298">
        <f>((AV30+AW30)/2)*'Woco - Project'!$C$11</f>
        <v>0</v>
      </c>
      <c r="AX39" s="298">
        <f>((AW30+AX30)/2)*'Woco - Project'!$C$11</f>
        <v>0</v>
      </c>
      <c r="AY39" s="298">
        <f>((AX30+AY30)/2)*'Woco - Project'!$C$11</f>
        <v>0</v>
      </c>
      <c r="AZ39" s="298">
        <f>((AY30+AZ30)/2)*'Woco - Project'!$C$11</f>
        <v>0</v>
      </c>
      <c r="BA39" s="298">
        <f>((AZ30+BA30)/2)*'Woco - Project'!$C$11</f>
        <v>0</v>
      </c>
      <c r="BB39" s="298">
        <f>((BA30+BB30)/2)*'Woco - Project'!$C$11</f>
        <v>0</v>
      </c>
      <c r="BC39" s="298">
        <f>((BB30+BC30)/2)*'Woco - Project'!$C$11</f>
        <v>0</v>
      </c>
      <c r="BD39" s="298">
        <f>((BC30+BD30)/2)*'Woco - Project'!$C$11</f>
        <v>0</v>
      </c>
      <c r="BE39" s="298">
        <f>((BD30+BE30)/2)*'Woco - Project'!$C$11</f>
        <v>0</v>
      </c>
      <c r="BF39" s="298">
        <f>((BE30+BF30)/2)*'Woco - Project'!$C$11</f>
        <v>0</v>
      </c>
      <c r="BG39" s="298">
        <f>((BF30+BG30)/2)*'Woco - Project'!$C$11</f>
        <v>0</v>
      </c>
      <c r="BH39" s="298">
        <f>((BG30+BH30)/2)*'Woco - Project'!$C$11</f>
        <v>0</v>
      </c>
      <c r="BI39" s="298">
        <f>((BH30+BI30)/2)*'Woco - Project'!$C$11</f>
        <v>0</v>
      </c>
      <c r="BJ39" s="298">
        <f>((BI30+BJ30)/2)*'Woco - Project'!$C$11</f>
        <v>0</v>
      </c>
      <c r="BK39" s="298">
        <f>((BJ30+BK30)/2)*'Woco - Project'!$C$11</f>
        <v>0</v>
      </c>
      <c r="BL39" s="305">
        <f>((BK30+BL30)/2)*'Woco - Project'!$C$11</f>
        <v>0</v>
      </c>
    </row>
    <row r="40" spans="2:64">
      <c r="B40" s="17" t="s">
        <v>153</v>
      </c>
      <c r="C40" s="295"/>
      <c r="D40" s="294"/>
      <c r="E40" s="297">
        <f t="shared" ref="E40:AI40" si="11">E39+E38</f>
        <v>0</v>
      </c>
      <c r="F40" s="297">
        <f t="shared" si="11"/>
        <v>0</v>
      </c>
      <c r="G40" s="297">
        <f t="shared" si="11"/>
        <v>0</v>
      </c>
      <c r="H40" s="297">
        <f t="shared" si="11"/>
        <v>0</v>
      </c>
      <c r="I40" s="297">
        <f t="shared" si="11"/>
        <v>0</v>
      </c>
      <c r="J40" s="297">
        <f t="shared" si="11"/>
        <v>0</v>
      </c>
      <c r="K40" s="297">
        <f t="shared" si="11"/>
        <v>0</v>
      </c>
      <c r="L40" s="297">
        <f t="shared" si="11"/>
        <v>0</v>
      </c>
      <c r="M40" s="297">
        <f t="shared" si="11"/>
        <v>0</v>
      </c>
      <c r="N40" s="297">
        <f t="shared" si="11"/>
        <v>0</v>
      </c>
      <c r="O40" s="297">
        <f t="shared" si="11"/>
        <v>0</v>
      </c>
      <c r="P40" s="297">
        <f t="shared" si="11"/>
        <v>0</v>
      </c>
      <c r="Q40" s="297">
        <f t="shared" si="11"/>
        <v>0</v>
      </c>
      <c r="R40" s="297">
        <f t="shared" si="11"/>
        <v>0</v>
      </c>
      <c r="S40" s="297">
        <f t="shared" si="11"/>
        <v>0</v>
      </c>
      <c r="T40" s="297">
        <f t="shared" si="11"/>
        <v>0</v>
      </c>
      <c r="U40" s="297">
        <f t="shared" si="11"/>
        <v>0</v>
      </c>
      <c r="V40" s="297">
        <f t="shared" si="11"/>
        <v>0</v>
      </c>
      <c r="W40" s="297">
        <f t="shared" si="11"/>
        <v>0</v>
      </c>
      <c r="X40" s="297">
        <f t="shared" si="11"/>
        <v>0</v>
      </c>
      <c r="Y40" s="297">
        <f t="shared" si="11"/>
        <v>0</v>
      </c>
      <c r="Z40" s="297">
        <f t="shared" si="11"/>
        <v>0</v>
      </c>
      <c r="AA40" s="297">
        <f t="shared" si="11"/>
        <v>0</v>
      </c>
      <c r="AB40" s="297">
        <f t="shared" si="11"/>
        <v>0</v>
      </c>
      <c r="AC40" s="297">
        <f t="shared" si="11"/>
        <v>0</v>
      </c>
      <c r="AD40" s="297">
        <f t="shared" si="11"/>
        <v>0</v>
      </c>
      <c r="AE40" s="297">
        <f t="shared" si="11"/>
        <v>0</v>
      </c>
      <c r="AF40" s="297">
        <f t="shared" si="11"/>
        <v>0</v>
      </c>
      <c r="AG40" s="297">
        <f t="shared" si="11"/>
        <v>0</v>
      </c>
      <c r="AH40" s="297">
        <f t="shared" si="11"/>
        <v>0</v>
      </c>
      <c r="AI40" s="297">
        <f t="shared" si="11"/>
        <v>0</v>
      </c>
      <c r="AJ40" s="297">
        <f t="shared" ref="AJ40:BL40" si="12">AJ39+AJ38</f>
        <v>0</v>
      </c>
      <c r="AK40" s="297">
        <f t="shared" si="12"/>
        <v>0</v>
      </c>
      <c r="AL40" s="297">
        <f t="shared" si="12"/>
        <v>0</v>
      </c>
      <c r="AM40" s="297">
        <f t="shared" si="12"/>
        <v>0</v>
      </c>
      <c r="AN40" s="297">
        <f t="shared" si="12"/>
        <v>0</v>
      </c>
      <c r="AO40" s="297">
        <f t="shared" si="12"/>
        <v>0</v>
      </c>
      <c r="AP40" s="297">
        <f t="shared" si="12"/>
        <v>0</v>
      </c>
      <c r="AQ40" s="297">
        <f t="shared" si="12"/>
        <v>0</v>
      </c>
      <c r="AR40" s="297">
        <f t="shared" si="12"/>
        <v>0</v>
      </c>
      <c r="AS40" s="297">
        <f t="shared" si="12"/>
        <v>0</v>
      </c>
      <c r="AT40" s="297">
        <f t="shared" si="12"/>
        <v>0</v>
      </c>
      <c r="AU40" s="297">
        <f t="shared" si="12"/>
        <v>0</v>
      </c>
      <c r="AV40" s="297">
        <f t="shared" si="12"/>
        <v>0</v>
      </c>
      <c r="AW40" s="297">
        <f t="shared" si="12"/>
        <v>0</v>
      </c>
      <c r="AX40" s="297">
        <f t="shared" si="12"/>
        <v>0</v>
      </c>
      <c r="AY40" s="297">
        <f t="shared" si="12"/>
        <v>0</v>
      </c>
      <c r="AZ40" s="297">
        <f t="shared" si="12"/>
        <v>0</v>
      </c>
      <c r="BA40" s="297">
        <f t="shared" si="12"/>
        <v>0</v>
      </c>
      <c r="BB40" s="297">
        <f t="shared" si="12"/>
        <v>0</v>
      </c>
      <c r="BC40" s="297">
        <f t="shared" si="12"/>
        <v>0</v>
      </c>
      <c r="BD40" s="297">
        <f t="shared" si="12"/>
        <v>0</v>
      </c>
      <c r="BE40" s="297">
        <f t="shared" si="12"/>
        <v>0</v>
      </c>
      <c r="BF40" s="297">
        <f t="shared" si="12"/>
        <v>0</v>
      </c>
      <c r="BG40" s="297">
        <f t="shared" si="12"/>
        <v>0</v>
      </c>
      <c r="BH40" s="297">
        <f t="shared" si="12"/>
        <v>0</v>
      </c>
      <c r="BI40" s="297">
        <f t="shared" si="12"/>
        <v>0</v>
      </c>
      <c r="BJ40" s="297">
        <f t="shared" si="12"/>
        <v>0</v>
      </c>
      <c r="BK40" s="297">
        <f t="shared" si="12"/>
        <v>0</v>
      </c>
      <c r="BL40" s="47">
        <f t="shared" si="12"/>
        <v>0</v>
      </c>
    </row>
    <row r="41" spans="2:64">
      <c r="B41" s="17"/>
      <c r="C41" s="295"/>
      <c r="D41" s="294"/>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47"/>
    </row>
    <row r="42" spans="2:64">
      <c r="B42" s="308" t="s">
        <v>154</v>
      </c>
      <c r="C42" s="309"/>
      <c r="D42" s="291"/>
      <c r="E42" s="306">
        <f t="shared" ref="E42:AJ42" si="13">E36+E40</f>
        <v>0</v>
      </c>
      <c r="F42" s="306">
        <f t="shared" si="13"/>
        <v>0</v>
      </c>
      <c r="G42" s="306">
        <f t="shared" si="13"/>
        <v>0</v>
      </c>
      <c r="H42" s="306">
        <f t="shared" si="13"/>
        <v>0</v>
      </c>
      <c r="I42" s="306">
        <f t="shared" si="13"/>
        <v>0</v>
      </c>
      <c r="J42" s="306">
        <f t="shared" si="13"/>
        <v>0</v>
      </c>
      <c r="K42" s="306">
        <f t="shared" si="13"/>
        <v>0</v>
      </c>
      <c r="L42" s="306">
        <f t="shared" si="13"/>
        <v>0</v>
      </c>
      <c r="M42" s="306">
        <f t="shared" si="13"/>
        <v>0</v>
      </c>
      <c r="N42" s="306">
        <f t="shared" si="13"/>
        <v>0</v>
      </c>
      <c r="O42" s="306">
        <f t="shared" si="13"/>
        <v>0</v>
      </c>
      <c r="P42" s="306">
        <f t="shared" si="13"/>
        <v>0</v>
      </c>
      <c r="Q42" s="306">
        <f t="shared" si="13"/>
        <v>0</v>
      </c>
      <c r="R42" s="306">
        <f t="shared" si="13"/>
        <v>0</v>
      </c>
      <c r="S42" s="306">
        <f t="shared" si="13"/>
        <v>0</v>
      </c>
      <c r="T42" s="306">
        <f t="shared" si="13"/>
        <v>0</v>
      </c>
      <c r="U42" s="306">
        <f t="shared" si="13"/>
        <v>0</v>
      </c>
      <c r="V42" s="306">
        <f t="shared" si="13"/>
        <v>0</v>
      </c>
      <c r="W42" s="306">
        <f t="shared" si="13"/>
        <v>0</v>
      </c>
      <c r="X42" s="306">
        <f t="shared" si="13"/>
        <v>0</v>
      </c>
      <c r="Y42" s="306">
        <f t="shared" si="13"/>
        <v>0</v>
      </c>
      <c r="Z42" s="306">
        <f t="shared" si="13"/>
        <v>0</v>
      </c>
      <c r="AA42" s="306">
        <f t="shared" si="13"/>
        <v>0</v>
      </c>
      <c r="AB42" s="306">
        <f t="shared" si="13"/>
        <v>0</v>
      </c>
      <c r="AC42" s="306">
        <f t="shared" si="13"/>
        <v>0</v>
      </c>
      <c r="AD42" s="306">
        <f t="shared" si="13"/>
        <v>0</v>
      </c>
      <c r="AE42" s="306">
        <f t="shared" si="13"/>
        <v>0</v>
      </c>
      <c r="AF42" s="306">
        <f t="shared" si="13"/>
        <v>0</v>
      </c>
      <c r="AG42" s="306">
        <f t="shared" si="13"/>
        <v>0</v>
      </c>
      <c r="AH42" s="306">
        <f t="shared" si="13"/>
        <v>0</v>
      </c>
      <c r="AI42" s="306">
        <f t="shared" si="13"/>
        <v>0</v>
      </c>
      <c r="AJ42" s="306">
        <f t="shared" si="13"/>
        <v>0</v>
      </c>
      <c r="AK42" s="306">
        <f t="shared" ref="AK42:BL42" si="14">AK36+AK40</f>
        <v>0</v>
      </c>
      <c r="AL42" s="306">
        <f t="shared" si="14"/>
        <v>0</v>
      </c>
      <c r="AM42" s="306">
        <f t="shared" si="14"/>
        <v>0</v>
      </c>
      <c r="AN42" s="306">
        <f t="shared" si="14"/>
        <v>0</v>
      </c>
      <c r="AO42" s="306">
        <f t="shared" si="14"/>
        <v>0</v>
      </c>
      <c r="AP42" s="306">
        <f t="shared" si="14"/>
        <v>0</v>
      </c>
      <c r="AQ42" s="306">
        <f t="shared" si="14"/>
        <v>0</v>
      </c>
      <c r="AR42" s="306">
        <f t="shared" si="14"/>
        <v>0</v>
      </c>
      <c r="AS42" s="306">
        <f t="shared" si="14"/>
        <v>0</v>
      </c>
      <c r="AT42" s="306">
        <f t="shared" si="14"/>
        <v>0</v>
      </c>
      <c r="AU42" s="306">
        <f t="shared" si="14"/>
        <v>0</v>
      </c>
      <c r="AV42" s="306">
        <f t="shared" si="14"/>
        <v>0</v>
      </c>
      <c r="AW42" s="306">
        <f t="shared" si="14"/>
        <v>0</v>
      </c>
      <c r="AX42" s="306">
        <f t="shared" si="14"/>
        <v>0</v>
      </c>
      <c r="AY42" s="306">
        <f t="shared" si="14"/>
        <v>0</v>
      </c>
      <c r="AZ42" s="306">
        <f t="shared" si="14"/>
        <v>0</v>
      </c>
      <c r="BA42" s="306">
        <f t="shared" si="14"/>
        <v>0</v>
      </c>
      <c r="BB42" s="306">
        <f t="shared" si="14"/>
        <v>0</v>
      </c>
      <c r="BC42" s="306">
        <f t="shared" si="14"/>
        <v>0</v>
      </c>
      <c r="BD42" s="306">
        <f t="shared" si="14"/>
        <v>0</v>
      </c>
      <c r="BE42" s="306">
        <f t="shared" si="14"/>
        <v>0</v>
      </c>
      <c r="BF42" s="306">
        <f t="shared" si="14"/>
        <v>0</v>
      </c>
      <c r="BG42" s="306">
        <f t="shared" si="14"/>
        <v>0</v>
      </c>
      <c r="BH42" s="306">
        <f t="shared" si="14"/>
        <v>0</v>
      </c>
      <c r="BI42" s="306">
        <f t="shared" si="14"/>
        <v>0</v>
      </c>
      <c r="BJ42" s="306">
        <f t="shared" si="14"/>
        <v>0</v>
      </c>
      <c r="BK42" s="306">
        <f t="shared" si="14"/>
        <v>0</v>
      </c>
      <c r="BL42" s="307">
        <f t="shared" si="14"/>
        <v>0</v>
      </c>
    </row>
    <row r="43" spans="2:6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row>
    <row r="44" spans="2:64">
      <c r="B44" s="78" t="s">
        <v>155</v>
      </c>
      <c r="C44" s="80"/>
      <c r="D44" s="28">
        <f>E44-1</f>
        <v>2024</v>
      </c>
      <c r="E44" s="28">
        <f>E7</f>
        <v>2025</v>
      </c>
      <c r="F44" s="28">
        <f>F7</f>
        <v>2026</v>
      </c>
      <c r="G44" s="28">
        <f t="shared" ref="G44:BK44" si="15">G7</f>
        <v>2027</v>
      </c>
      <c r="H44" s="28">
        <f t="shared" si="15"/>
        <v>2028</v>
      </c>
      <c r="I44" s="28">
        <f t="shared" si="15"/>
        <v>2029</v>
      </c>
      <c r="J44" s="28">
        <f t="shared" si="15"/>
        <v>2030</v>
      </c>
      <c r="K44" s="28">
        <f t="shared" si="15"/>
        <v>2031</v>
      </c>
      <c r="L44" s="28">
        <f t="shared" si="15"/>
        <v>2032</v>
      </c>
      <c r="M44" s="28">
        <f t="shared" si="15"/>
        <v>2033</v>
      </c>
      <c r="N44" s="28">
        <f t="shared" si="15"/>
        <v>2034</v>
      </c>
      <c r="O44" s="28">
        <f t="shared" si="15"/>
        <v>2035</v>
      </c>
      <c r="P44" s="28">
        <f t="shared" si="15"/>
        <v>2036</v>
      </c>
      <c r="Q44" s="28">
        <f t="shared" si="15"/>
        <v>2037</v>
      </c>
      <c r="R44" s="28">
        <f t="shared" si="15"/>
        <v>2038</v>
      </c>
      <c r="S44" s="28">
        <f t="shared" si="15"/>
        <v>2039</v>
      </c>
      <c r="T44" s="28">
        <f t="shared" si="15"/>
        <v>2040</v>
      </c>
      <c r="U44" s="28">
        <f t="shared" si="15"/>
        <v>2041</v>
      </c>
      <c r="V44" s="28">
        <f t="shared" si="15"/>
        <v>2042</v>
      </c>
      <c r="W44" s="28">
        <f t="shared" si="15"/>
        <v>2043</v>
      </c>
      <c r="X44" s="28">
        <f t="shared" si="15"/>
        <v>2044</v>
      </c>
      <c r="Y44" s="28">
        <f t="shared" si="15"/>
        <v>2045</v>
      </c>
      <c r="Z44" s="28">
        <f t="shared" si="15"/>
        <v>2046</v>
      </c>
      <c r="AA44" s="28">
        <f t="shared" si="15"/>
        <v>2047</v>
      </c>
      <c r="AB44" s="28">
        <f t="shared" si="15"/>
        <v>2048</v>
      </c>
      <c r="AC44" s="28">
        <f t="shared" si="15"/>
        <v>2049</v>
      </c>
      <c r="AD44" s="28">
        <f t="shared" si="15"/>
        <v>2050</v>
      </c>
      <c r="AE44" s="28">
        <f t="shared" si="15"/>
        <v>2051</v>
      </c>
      <c r="AF44" s="28">
        <f t="shared" si="15"/>
        <v>2052</v>
      </c>
      <c r="AG44" s="28">
        <f t="shared" si="15"/>
        <v>2053</v>
      </c>
      <c r="AH44" s="28">
        <f t="shared" si="15"/>
        <v>2054</v>
      </c>
      <c r="AI44" s="28">
        <f t="shared" si="15"/>
        <v>2055</v>
      </c>
      <c r="AJ44" s="28">
        <f t="shared" si="15"/>
        <v>2056</v>
      </c>
      <c r="AK44" s="28">
        <f t="shared" si="15"/>
        <v>2057</v>
      </c>
      <c r="AL44" s="28">
        <f t="shared" si="15"/>
        <v>2058</v>
      </c>
      <c r="AM44" s="28">
        <f t="shared" si="15"/>
        <v>2059</v>
      </c>
      <c r="AN44" s="28">
        <f t="shared" si="15"/>
        <v>2060</v>
      </c>
      <c r="AO44" s="28">
        <f t="shared" si="15"/>
        <v>2061</v>
      </c>
      <c r="AP44" s="28">
        <f t="shared" si="15"/>
        <v>2062</v>
      </c>
      <c r="AQ44" s="28">
        <f t="shared" si="15"/>
        <v>2063</v>
      </c>
      <c r="AR44" s="28">
        <f t="shared" si="15"/>
        <v>2064</v>
      </c>
      <c r="AS44" s="28">
        <f t="shared" si="15"/>
        <v>2065</v>
      </c>
      <c r="AT44" s="28">
        <f t="shared" si="15"/>
        <v>2066</v>
      </c>
      <c r="AU44" s="28">
        <f t="shared" si="15"/>
        <v>2067</v>
      </c>
      <c r="AV44" s="28">
        <f t="shared" si="15"/>
        <v>2068</v>
      </c>
      <c r="AW44" s="28">
        <f t="shared" si="15"/>
        <v>2069</v>
      </c>
      <c r="AX44" s="28">
        <f t="shared" si="15"/>
        <v>2070</v>
      </c>
      <c r="AY44" s="28">
        <f t="shared" si="15"/>
        <v>2071</v>
      </c>
      <c r="AZ44" s="28">
        <f t="shared" si="15"/>
        <v>2072</v>
      </c>
      <c r="BA44" s="28">
        <f t="shared" si="15"/>
        <v>2073</v>
      </c>
      <c r="BB44" s="28">
        <f t="shared" si="15"/>
        <v>2074</v>
      </c>
      <c r="BC44" s="28">
        <f t="shared" si="15"/>
        <v>2075</v>
      </c>
      <c r="BD44" s="28">
        <f t="shared" si="15"/>
        <v>2076</v>
      </c>
      <c r="BE44" s="28">
        <f t="shared" si="15"/>
        <v>2077</v>
      </c>
      <c r="BF44" s="28">
        <f t="shared" si="15"/>
        <v>2078</v>
      </c>
      <c r="BG44" s="28">
        <f t="shared" si="15"/>
        <v>2079</v>
      </c>
      <c r="BH44" s="28">
        <f t="shared" si="15"/>
        <v>2080</v>
      </c>
      <c r="BI44" s="28">
        <f t="shared" si="15"/>
        <v>2081</v>
      </c>
      <c r="BJ44" s="28">
        <f t="shared" si="15"/>
        <v>2082</v>
      </c>
      <c r="BK44" s="28">
        <f t="shared" si="15"/>
        <v>2083</v>
      </c>
      <c r="BL44" s="71">
        <f>BL7</f>
        <v>2084</v>
      </c>
    </row>
    <row r="45" spans="2:64">
      <c r="B45" s="19" t="s">
        <v>156</v>
      </c>
      <c r="C45" s="73"/>
      <c r="D45" s="256">
        <f>NPV('Hulpblad - Uitgangspunten'!D26,E42:BL42)</f>
        <v>0</v>
      </c>
      <c r="E45" s="257">
        <f>D45*(1+'Hulpblad - Uitgangspunten'!$D$33)</f>
        <v>0</v>
      </c>
      <c r="F45" s="257">
        <f>E45*(1+'Hulpblad - Uitgangspunten'!$D$33)</f>
        <v>0</v>
      </c>
      <c r="G45" s="257">
        <f>F45*(1+'Hulpblad - Uitgangspunten'!$D$33)</f>
        <v>0</v>
      </c>
      <c r="H45" s="257">
        <f>G45*(1+'Hulpblad - Uitgangspunten'!$D$33)</f>
        <v>0</v>
      </c>
      <c r="I45" s="257">
        <f>H45*(1+'Hulpblad - Uitgangspunten'!$D$33)</f>
        <v>0</v>
      </c>
      <c r="J45" s="257">
        <f>I45*(1+'Hulpblad - Uitgangspunten'!$D$33)</f>
        <v>0</v>
      </c>
      <c r="K45" s="257">
        <f>J45*(1+'Hulpblad - Uitgangspunten'!$D$33)</f>
        <v>0</v>
      </c>
      <c r="L45" s="257">
        <f>K45*(1+'Hulpblad - Uitgangspunten'!$D$33)</f>
        <v>0</v>
      </c>
      <c r="M45" s="257">
        <f>L45*(1+'Hulpblad - Uitgangspunten'!$D$33)</f>
        <v>0</v>
      </c>
      <c r="N45" s="257">
        <f>M45*(1+'Hulpblad - Uitgangspunten'!$D$33)</f>
        <v>0</v>
      </c>
      <c r="O45" s="257">
        <f>N45*(1+'Hulpblad - Uitgangspunten'!$D$33)</f>
        <v>0</v>
      </c>
      <c r="P45" s="257">
        <f>O45*(1+'Hulpblad - Uitgangspunten'!$D$33)</f>
        <v>0</v>
      </c>
      <c r="Q45" s="257">
        <f>P45*(1+'Hulpblad - Uitgangspunten'!$D$33)</f>
        <v>0</v>
      </c>
      <c r="R45" s="257">
        <f>Q45*(1+'Hulpblad - Uitgangspunten'!$D$33)</f>
        <v>0</v>
      </c>
      <c r="S45" s="257">
        <f>R45*(1+'Hulpblad - Uitgangspunten'!$D$33)</f>
        <v>0</v>
      </c>
      <c r="T45" s="73"/>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105"/>
    </row>
    <row r="46" spans="2:64">
      <c r="B46" s="18" t="s">
        <v>157</v>
      </c>
      <c r="C46" s="74"/>
      <c r="D46" s="170">
        <f>'Woco - Project'!C30*'Woco - Project'!$C$11</f>
        <v>0</v>
      </c>
      <c r="E46" s="170">
        <f>D46*(1+'Hulpblad - Uitgangspunten'!$D$32)</f>
        <v>0</v>
      </c>
      <c r="F46" s="170">
        <f>E46*(1+'Hulpblad - Uitgangspunten'!$D$32)</f>
        <v>0</v>
      </c>
      <c r="G46" s="170">
        <f>F46*(1+'Hulpblad - Uitgangspunten'!$D$32)</f>
        <v>0</v>
      </c>
      <c r="H46" s="170">
        <f>G46*(1+'Hulpblad - Uitgangspunten'!$D$32)</f>
        <v>0</v>
      </c>
      <c r="I46" s="170">
        <f>H46*(1+'Hulpblad - Uitgangspunten'!$D$32)</f>
        <v>0</v>
      </c>
      <c r="J46" s="170">
        <f>I46*(1+'Hulpblad - Uitgangspunten'!$D$32)</f>
        <v>0</v>
      </c>
      <c r="K46" s="170">
        <f>J46*(1+'Hulpblad - Uitgangspunten'!$D$32)</f>
        <v>0</v>
      </c>
      <c r="L46" s="170">
        <f>K46*(1+'Hulpblad - Uitgangspunten'!$D$32)</f>
        <v>0</v>
      </c>
      <c r="M46" s="170">
        <f>L46*(1+'Hulpblad - Uitgangspunten'!$D$32)</f>
        <v>0</v>
      </c>
      <c r="N46" s="170">
        <f>M46*(1+'Hulpblad - Uitgangspunten'!$D$32)</f>
        <v>0</v>
      </c>
      <c r="O46" s="170">
        <f>N46*(1+'Hulpblad - Uitgangspunten'!$D$32)</f>
        <v>0</v>
      </c>
      <c r="P46" s="170">
        <f>O46*(1+'Hulpblad - Uitgangspunten'!$D$32)</f>
        <v>0</v>
      </c>
      <c r="Q46" s="170">
        <f>P46*(1+'Hulpblad - Uitgangspunten'!$D$32)</f>
        <v>0</v>
      </c>
      <c r="R46" s="170">
        <f>Q46*(1+'Hulpblad - Uitgangspunten'!$D$32)</f>
        <v>0</v>
      </c>
      <c r="S46" s="170">
        <f>R46*(1+'Hulpblad - Uitgangspunten'!$D$32)</f>
        <v>0</v>
      </c>
      <c r="T46" s="74"/>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48"/>
    </row>
    <row r="47" spans="2:6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row>
    <row r="48" spans="2:64">
      <c r="B48" s="79" t="s">
        <v>128</v>
      </c>
      <c r="C48" s="79"/>
      <c r="D48" s="79">
        <v>0</v>
      </c>
      <c r="E48" s="79">
        <v>1</v>
      </c>
      <c r="F48" s="79">
        <v>2</v>
      </c>
      <c r="G48" s="79">
        <v>3</v>
      </c>
      <c r="H48" s="79">
        <v>4</v>
      </c>
      <c r="I48" s="79">
        <v>5</v>
      </c>
      <c r="J48" s="79">
        <v>6</v>
      </c>
      <c r="K48" s="79">
        <v>7</v>
      </c>
      <c r="L48" s="79">
        <v>8</v>
      </c>
      <c r="M48" s="79">
        <v>9</v>
      </c>
      <c r="N48" s="79">
        <v>10</v>
      </c>
      <c r="O48" s="79">
        <v>11</v>
      </c>
      <c r="P48" s="79">
        <v>12</v>
      </c>
      <c r="Q48" s="79">
        <v>13</v>
      </c>
      <c r="R48" s="79">
        <v>14</v>
      </c>
      <c r="S48" s="79">
        <v>15</v>
      </c>
      <c r="T48" s="79">
        <v>16</v>
      </c>
      <c r="U48" s="79">
        <v>17</v>
      </c>
      <c r="V48" s="79">
        <v>18</v>
      </c>
      <c r="W48" s="79">
        <v>19</v>
      </c>
      <c r="X48" s="79">
        <v>20</v>
      </c>
      <c r="Y48" s="79">
        <v>21</v>
      </c>
      <c r="Z48" s="79">
        <v>22</v>
      </c>
      <c r="AA48" s="79">
        <v>23</v>
      </c>
      <c r="AB48" s="79">
        <v>24</v>
      </c>
      <c r="AC48" s="79">
        <v>25</v>
      </c>
      <c r="AD48" s="79">
        <v>26</v>
      </c>
      <c r="AE48" s="79">
        <v>27</v>
      </c>
      <c r="AF48" s="79">
        <v>28</v>
      </c>
      <c r="AG48" s="79">
        <v>29</v>
      </c>
      <c r="AH48" s="79">
        <v>30</v>
      </c>
      <c r="AI48" s="79">
        <v>31</v>
      </c>
      <c r="AJ48" s="79">
        <v>32</v>
      </c>
      <c r="AK48" s="79">
        <v>33</v>
      </c>
      <c r="AL48" s="79">
        <v>34</v>
      </c>
      <c r="AM48" s="79">
        <v>35</v>
      </c>
      <c r="AN48" s="79">
        <v>36</v>
      </c>
      <c r="AO48" s="79">
        <v>37</v>
      </c>
      <c r="AP48" s="79">
        <v>38</v>
      </c>
      <c r="AQ48" s="79">
        <v>39</v>
      </c>
      <c r="AR48" s="79">
        <v>40</v>
      </c>
      <c r="AS48" s="79">
        <v>41</v>
      </c>
      <c r="AT48" s="79">
        <v>42</v>
      </c>
      <c r="AU48" s="79">
        <v>43</v>
      </c>
      <c r="AV48" s="79">
        <v>44</v>
      </c>
      <c r="AW48" s="79">
        <v>45</v>
      </c>
      <c r="AX48" s="79">
        <v>46</v>
      </c>
      <c r="AY48" s="79">
        <v>47</v>
      </c>
      <c r="AZ48" s="79">
        <v>48</v>
      </c>
      <c r="BA48" s="79">
        <v>49</v>
      </c>
      <c r="BB48" s="79">
        <v>50</v>
      </c>
      <c r="BC48" s="79">
        <v>51</v>
      </c>
      <c r="BD48" s="79">
        <v>52</v>
      </c>
      <c r="BE48" s="79">
        <v>53</v>
      </c>
      <c r="BF48" s="79">
        <v>54</v>
      </c>
      <c r="BG48" s="79">
        <v>55</v>
      </c>
      <c r="BH48" s="79">
        <v>56</v>
      </c>
      <c r="BI48" s="79">
        <v>57</v>
      </c>
      <c r="BJ48" s="79">
        <v>58</v>
      </c>
      <c r="BK48" s="79">
        <v>59</v>
      </c>
      <c r="BL48" s="79">
        <v>60</v>
      </c>
    </row>
    <row r="49" spans="2:64"/>
    <row r="50" spans="2:64">
      <c r="B50" s="78" t="s">
        <v>158</v>
      </c>
      <c r="C50" s="80"/>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71"/>
    </row>
    <row r="51" spans="2:64">
      <c r="B51" s="258" t="s">
        <v>159</v>
      </c>
      <c r="C51" s="73"/>
      <c r="D51" s="310">
        <v>45658</v>
      </c>
      <c r="E51" s="310">
        <v>45839</v>
      </c>
      <c r="F51" s="310">
        <v>46204</v>
      </c>
      <c r="G51" s="310">
        <v>46569</v>
      </c>
      <c r="H51" s="310">
        <v>46935</v>
      </c>
      <c r="I51" s="310">
        <v>47300</v>
      </c>
      <c r="J51" s="310">
        <v>47665</v>
      </c>
      <c r="K51" s="310">
        <v>48030</v>
      </c>
      <c r="L51" s="310">
        <v>48396</v>
      </c>
      <c r="M51" s="310">
        <v>48761</v>
      </c>
      <c r="N51" s="310">
        <v>49126</v>
      </c>
      <c r="O51" s="310">
        <v>49491</v>
      </c>
      <c r="P51" s="310">
        <v>49857</v>
      </c>
      <c r="Q51" s="310">
        <v>50222</v>
      </c>
      <c r="R51" s="310">
        <v>50587</v>
      </c>
      <c r="S51" s="310">
        <v>50952</v>
      </c>
      <c r="T51" s="310">
        <v>51318</v>
      </c>
      <c r="U51" s="310">
        <v>51683</v>
      </c>
      <c r="V51" s="310">
        <v>52048</v>
      </c>
      <c r="W51" s="310">
        <v>52413</v>
      </c>
      <c r="X51" s="310">
        <v>52779</v>
      </c>
      <c r="Y51" s="310">
        <v>53144</v>
      </c>
      <c r="Z51" s="310">
        <v>53509</v>
      </c>
      <c r="AA51" s="310">
        <v>53874</v>
      </c>
      <c r="AB51" s="310">
        <v>54240</v>
      </c>
      <c r="AC51" s="310">
        <v>54605</v>
      </c>
      <c r="AD51" s="310">
        <v>54970</v>
      </c>
      <c r="AE51" s="310">
        <v>55335</v>
      </c>
      <c r="AF51" s="310">
        <v>55701</v>
      </c>
      <c r="AG51" s="310">
        <v>56066</v>
      </c>
      <c r="AH51" s="310">
        <v>56431</v>
      </c>
      <c r="AI51" s="310">
        <v>56796</v>
      </c>
      <c r="AJ51" s="310">
        <v>57162</v>
      </c>
      <c r="AK51" s="310">
        <v>57527</v>
      </c>
      <c r="AL51" s="310">
        <v>57892</v>
      </c>
      <c r="AM51" s="310">
        <v>58257</v>
      </c>
      <c r="AN51" s="310">
        <v>58623</v>
      </c>
      <c r="AO51" s="310">
        <v>58988</v>
      </c>
      <c r="AP51" s="310">
        <v>59353</v>
      </c>
      <c r="AQ51" s="310">
        <v>59718</v>
      </c>
      <c r="AR51" s="310">
        <v>60084</v>
      </c>
      <c r="AS51" s="310">
        <v>60449</v>
      </c>
      <c r="AT51" s="310">
        <v>60814</v>
      </c>
      <c r="AU51" s="310">
        <v>61179</v>
      </c>
      <c r="AV51" s="310">
        <v>61545</v>
      </c>
      <c r="AW51" s="310">
        <v>61910</v>
      </c>
      <c r="AX51" s="310">
        <v>62275</v>
      </c>
      <c r="AY51" s="310">
        <v>62640</v>
      </c>
      <c r="AZ51" s="310">
        <v>63006</v>
      </c>
      <c r="BA51" s="310">
        <v>63371</v>
      </c>
      <c r="BB51" s="310">
        <v>63736</v>
      </c>
      <c r="BC51" s="310">
        <v>64101</v>
      </c>
      <c r="BD51" s="310">
        <v>64467</v>
      </c>
      <c r="BE51" s="310">
        <v>64832</v>
      </c>
      <c r="BF51" s="310">
        <v>65197</v>
      </c>
      <c r="BG51" s="310">
        <v>65562</v>
      </c>
      <c r="BH51" s="310">
        <v>65928</v>
      </c>
      <c r="BI51" s="310">
        <v>66293</v>
      </c>
      <c r="BJ51" s="310">
        <v>66658</v>
      </c>
      <c r="BK51" s="310">
        <v>67023</v>
      </c>
      <c r="BL51" s="311">
        <v>67389</v>
      </c>
    </row>
    <row r="52" spans="2:64">
      <c r="B52" s="17" t="s">
        <v>160</v>
      </c>
      <c r="C52" s="132"/>
      <c r="D52" s="297">
        <f>-'Woco - Project'!$C$36</f>
        <v>0</v>
      </c>
      <c r="E52" s="297">
        <f t="shared" ref="E52:AJ52" si="16">E42</f>
        <v>0</v>
      </c>
      <c r="F52" s="297">
        <f t="shared" si="16"/>
        <v>0</v>
      </c>
      <c r="G52" s="297">
        <f t="shared" si="16"/>
        <v>0</v>
      </c>
      <c r="H52" s="297">
        <f t="shared" si="16"/>
        <v>0</v>
      </c>
      <c r="I52" s="297">
        <f t="shared" si="16"/>
        <v>0</v>
      </c>
      <c r="J52" s="297">
        <f t="shared" si="16"/>
        <v>0</v>
      </c>
      <c r="K52" s="297">
        <f t="shared" si="16"/>
        <v>0</v>
      </c>
      <c r="L52" s="297">
        <f t="shared" si="16"/>
        <v>0</v>
      </c>
      <c r="M52" s="297">
        <f t="shared" si="16"/>
        <v>0</v>
      </c>
      <c r="N52" s="297">
        <f t="shared" si="16"/>
        <v>0</v>
      </c>
      <c r="O52" s="297">
        <f t="shared" si="16"/>
        <v>0</v>
      </c>
      <c r="P52" s="297">
        <f t="shared" si="16"/>
        <v>0</v>
      </c>
      <c r="Q52" s="297">
        <f t="shared" si="16"/>
        <v>0</v>
      </c>
      <c r="R52" s="297">
        <f t="shared" si="16"/>
        <v>0</v>
      </c>
      <c r="S52" s="297">
        <f t="shared" si="16"/>
        <v>0</v>
      </c>
      <c r="T52" s="297">
        <f t="shared" si="16"/>
        <v>0</v>
      </c>
      <c r="U52" s="297">
        <f t="shared" si="16"/>
        <v>0</v>
      </c>
      <c r="V52" s="297">
        <f t="shared" si="16"/>
        <v>0</v>
      </c>
      <c r="W52" s="297">
        <f t="shared" si="16"/>
        <v>0</v>
      </c>
      <c r="X52" s="297">
        <f t="shared" si="16"/>
        <v>0</v>
      </c>
      <c r="Y52" s="297">
        <f t="shared" si="16"/>
        <v>0</v>
      </c>
      <c r="Z52" s="297">
        <f t="shared" si="16"/>
        <v>0</v>
      </c>
      <c r="AA52" s="297">
        <f t="shared" si="16"/>
        <v>0</v>
      </c>
      <c r="AB52" s="297">
        <f t="shared" si="16"/>
        <v>0</v>
      </c>
      <c r="AC52" s="297">
        <f t="shared" si="16"/>
        <v>0</v>
      </c>
      <c r="AD52" s="297">
        <f t="shared" si="16"/>
        <v>0</v>
      </c>
      <c r="AE52" s="297">
        <f t="shared" si="16"/>
        <v>0</v>
      </c>
      <c r="AF52" s="297">
        <f t="shared" si="16"/>
        <v>0</v>
      </c>
      <c r="AG52" s="297">
        <f t="shared" si="16"/>
        <v>0</v>
      </c>
      <c r="AH52" s="297">
        <f t="shared" si="16"/>
        <v>0</v>
      </c>
      <c r="AI52" s="297">
        <f t="shared" si="16"/>
        <v>0</v>
      </c>
      <c r="AJ52" s="297">
        <f t="shared" si="16"/>
        <v>0</v>
      </c>
      <c r="AK52" s="297">
        <f t="shared" ref="AK52:BL52" si="17">AK42</f>
        <v>0</v>
      </c>
      <c r="AL52" s="297">
        <f t="shared" si="17"/>
        <v>0</v>
      </c>
      <c r="AM52" s="297">
        <f t="shared" si="17"/>
        <v>0</v>
      </c>
      <c r="AN52" s="297">
        <f t="shared" si="17"/>
        <v>0</v>
      </c>
      <c r="AO52" s="297">
        <f t="shared" si="17"/>
        <v>0</v>
      </c>
      <c r="AP52" s="297">
        <f t="shared" si="17"/>
        <v>0</v>
      </c>
      <c r="AQ52" s="297">
        <f t="shared" si="17"/>
        <v>0</v>
      </c>
      <c r="AR52" s="297">
        <f t="shared" si="17"/>
        <v>0</v>
      </c>
      <c r="AS52" s="297">
        <f t="shared" si="17"/>
        <v>0</v>
      </c>
      <c r="AT52" s="297">
        <f t="shared" si="17"/>
        <v>0</v>
      </c>
      <c r="AU52" s="297">
        <f t="shared" si="17"/>
        <v>0</v>
      </c>
      <c r="AV52" s="297">
        <f t="shared" si="17"/>
        <v>0</v>
      </c>
      <c r="AW52" s="297">
        <f t="shared" si="17"/>
        <v>0</v>
      </c>
      <c r="AX52" s="297">
        <f t="shared" si="17"/>
        <v>0</v>
      </c>
      <c r="AY52" s="297">
        <f t="shared" si="17"/>
        <v>0</v>
      </c>
      <c r="AZ52" s="297">
        <f t="shared" si="17"/>
        <v>0</v>
      </c>
      <c r="BA52" s="297">
        <f t="shared" si="17"/>
        <v>0</v>
      </c>
      <c r="BB52" s="297">
        <f t="shared" si="17"/>
        <v>0</v>
      </c>
      <c r="BC52" s="297">
        <f t="shared" si="17"/>
        <v>0</v>
      </c>
      <c r="BD52" s="297">
        <f t="shared" si="17"/>
        <v>0</v>
      </c>
      <c r="BE52" s="297">
        <f t="shared" si="17"/>
        <v>0</v>
      </c>
      <c r="BF52" s="297">
        <f t="shared" si="17"/>
        <v>0</v>
      </c>
      <c r="BG52" s="297">
        <f t="shared" si="17"/>
        <v>0</v>
      </c>
      <c r="BH52" s="297">
        <f t="shared" si="17"/>
        <v>0</v>
      </c>
      <c r="BI52" s="297">
        <f t="shared" si="17"/>
        <v>0</v>
      </c>
      <c r="BJ52" s="297">
        <f t="shared" si="17"/>
        <v>0</v>
      </c>
      <c r="BK52" s="297">
        <f t="shared" si="17"/>
        <v>0</v>
      </c>
      <c r="BL52" s="47">
        <f t="shared" si="17"/>
        <v>0</v>
      </c>
    </row>
    <row r="53" spans="2:64" ht="17.25" customHeight="1">
      <c r="B53" s="17" t="s">
        <v>161</v>
      </c>
      <c r="C53" s="132"/>
      <c r="D53" s="129" t="e">
        <f>XIRR(D52:BL52,D51:BL51)</f>
        <v>#NUM!</v>
      </c>
      <c r="E53" s="132"/>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47"/>
    </row>
    <row r="54" spans="2:64">
      <c r="B54" s="274" t="s">
        <v>162</v>
      </c>
      <c r="C54" s="132"/>
      <c r="D54" s="312">
        <v>45658</v>
      </c>
      <c r="E54" s="312">
        <v>45839</v>
      </c>
      <c r="F54" s="312">
        <v>46204</v>
      </c>
      <c r="G54" s="312">
        <v>46569</v>
      </c>
      <c r="H54" s="312">
        <v>46935</v>
      </c>
      <c r="I54" s="312">
        <v>47300</v>
      </c>
      <c r="J54" s="312">
        <v>47665</v>
      </c>
      <c r="K54" s="312">
        <v>48030</v>
      </c>
      <c r="L54" s="312">
        <v>48396</v>
      </c>
      <c r="M54" s="312">
        <v>48761</v>
      </c>
      <c r="N54" s="312">
        <v>49126</v>
      </c>
      <c r="O54" s="312">
        <v>49491</v>
      </c>
      <c r="P54" s="312">
        <v>49857</v>
      </c>
      <c r="Q54" s="312">
        <v>50222</v>
      </c>
      <c r="R54" s="312">
        <v>50587</v>
      </c>
      <c r="S54" s="312">
        <v>50952</v>
      </c>
      <c r="T54" s="312">
        <v>51135</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3"/>
    </row>
    <row r="55" spans="2:64">
      <c r="B55" s="17" t="s">
        <v>160</v>
      </c>
      <c r="C55" s="132"/>
      <c r="D55" s="297">
        <f>-'Woco - Project'!$C$36</f>
        <v>0</v>
      </c>
      <c r="E55" s="297">
        <f t="shared" ref="E55:S55" si="18">E42</f>
        <v>0</v>
      </c>
      <c r="F55" s="297">
        <f t="shared" si="18"/>
        <v>0</v>
      </c>
      <c r="G55" s="297">
        <f t="shared" si="18"/>
        <v>0</v>
      </c>
      <c r="H55" s="297">
        <f t="shared" si="18"/>
        <v>0</v>
      </c>
      <c r="I55" s="297">
        <f t="shared" si="18"/>
        <v>0</v>
      </c>
      <c r="J55" s="297">
        <f t="shared" si="18"/>
        <v>0</v>
      </c>
      <c r="K55" s="297">
        <f t="shared" si="18"/>
        <v>0</v>
      </c>
      <c r="L55" s="297">
        <f t="shared" si="18"/>
        <v>0</v>
      </c>
      <c r="M55" s="297">
        <f t="shared" si="18"/>
        <v>0</v>
      </c>
      <c r="N55" s="297">
        <f t="shared" si="18"/>
        <v>0</v>
      </c>
      <c r="O55" s="297">
        <f t="shared" si="18"/>
        <v>0</v>
      </c>
      <c r="P55" s="297">
        <f t="shared" si="18"/>
        <v>0</v>
      </c>
      <c r="Q55" s="297">
        <f t="shared" si="18"/>
        <v>0</v>
      </c>
      <c r="R55" s="297">
        <f t="shared" si="18"/>
        <v>0</v>
      </c>
      <c r="S55" s="297">
        <f t="shared" si="18"/>
        <v>0</v>
      </c>
      <c r="T55" s="297">
        <f>S45</f>
        <v>0</v>
      </c>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47"/>
    </row>
    <row r="56" spans="2:64">
      <c r="B56" s="17" t="s">
        <v>161</v>
      </c>
      <c r="C56" s="132"/>
      <c r="D56" s="129" t="e">
        <f>XIRR(D55:T55,D54:T54)</f>
        <v>#NUM!</v>
      </c>
      <c r="E56" s="132"/>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314"/>
    </row>
    <row r="57" spans="2:64">
      <c r="B57" s="274" t="s">
        <v>163</v>
      </c>
      <c r="C57" s="132"/>
      <c r="D57" s="312">
        <v>45658</v>
      </c>
      <c r="E57" s="312">
        <v>45839</v>
      </c>
      <c r="F57" s="312">
        <v>46204</v>
      </c>
      <c r="G57" s="312">
        <v>46569</v>
      </c>
      <c r="H57" s="312">
        <v>46935</v>
      </c>
      <c r="I57" s="312">
        <v>47300</v>
      </c>
      <c r="J57" s="312">
        <v>47665</v>
      </c>
      <c r="K57" s="312">
        <v>48030</v>
      </c>
      <c r="L57" s="312">
        <v>48396</v>
      </c>
      <c r="M57" s="312">
        <v>48761</v>
      </c>
      <c r="N57" s="312">
        <v>49126</v>
      </c>
      <c r="O57" s="312">
        <v>49491</v>
      </c>
      <c r="P57" s="312">
        <v>49857</v>
      </c>
      <c r="Q57" s="312">
        <v>50222</v>
      </c>
      <c r="R57" s="312">
        <v>50587</v>
      </c>
      <c r="S57" s="312">
        <v>50952</v>
      </c>
      <c r="T57" s="312">
        <v>51135</v>
      </c>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3"/>
    </row>
    <row r="58" spans="2:64">
      <c r="B58" s="17" t="s">
        <v>160</v>
      </c>
      <c r="C58" s="132"/>
      <c r="D58" s="297">
        <f>-'Woco - Project'!$C$36</f>
        <v>0</v>
      </c>
      <c r="E58" s="297">
        <f t="shared" ref="E58:S58" si="19">E42</f>
        <v>0</v>
      </c>
      <c r="F58" s="297">
        <f t="shared" si="19"/>
        <v>0</v>
      </c>
      <c r="G58" s="297">
        <f t="shared" si="19"/>
        <v>0</v>
      </c>
      <c r="H58" s="297">
        <f t="shared" si="19"/>
        <v>0</v>
      </c>
      <c r="I58" s="297">
        <f t="shared" si="19"/>
        <v>0</v>
      </c>
      <c r="J58" s="297">
        <f t="shared" si="19"/>
        <v>0</v>
      </c>
      <c r="K58" s="297">
        <f t="shared" si="19"/>
        <v>0</v>
      </c>
      <c r="L58" s="297">
        <f t="shared" si="19"/>
        <v>0</v>
      </c>
      <c r="M58" s="297">
        <f t="shared" si="19"/>
        <v>0</v>
      </c>
      <c r="N58" s="297">
        <f t="shared" si="19"/>
        <v>0</v>
      </c>
      <c r="O58" s="297">
        <f t="shared" si="19"/>
        <v>0</v>
      </c>
      <c r="P58" s="297">
        <f t="shared" si="19"/>
        <v>0</v>
      </c>
      <c r="Q58" s="297">
        <f t="shared" si="19"/>
        <v>0</v>
      </c>
      <c r="R58" s="297">
        <f t="shared" si="19"/>
        <v>0</v>
      </c>
      <c r="S58" s="297">
        <f t="shared" si="19"/>
        <v>0</v>
      </c>
      <c r="T58" s="297">
        <f>S46</f>
        <v>0</v>
      </c>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47"/>
    </row>
    <row r="59" spans="2:64" ht="17.25" customHeight="1">
      <c r="B59" s="18" t="s">
        <v>161</v>
      </c>
      <c r="C59" s="74"/>
      <c r="D59" s="70" t="e">
        <f>XIRR(D58:T58,D57:T57)</f>
        <v>#NUM!</v>
      </c>
      <c r="E59" s="74"/>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7"/>
    </row>
    <row r="60" spans="2:64">
      <c r="H60" s="38"/>
    </row>
    <row r="61" spans="2:64">
      <c r="B61" s="334" t="s">
        <v>27</v>
      </c>
      <c r="C61" s="335"/>
      <c r="D61" s="336" t="e">
        <f>D53</f>
        <v>#NUM!</v>
      </c>
      <c r="K61" s="59"/>
      <c r="L61" s="59"/>
    </row>
    <row r="62" spans="2:64" ht="17.25" customHeight="1">
      <c r="B62" s="337" t="s">
        <v>28</v>
      </c>
      <c r="C62" s="333"/>
      <c r="D62" s="338" t="e">
        <f>D56</f>
        <v>#NUM!</v>
      </c>
      <c r="I62" s="63"/>
      <c r="J62" s="63"/>
      <c r="K62" s="63"/>
      <c r="L62" s="27"/>
    </row>
    <row r="63" spans="2:64" ht="16.5" customHeight="1">
      <c r="B63" s="337" t="s">
        <v>30</v>
      </c>
      <c r="C63" s="333"/>
      <c r="D63" s="338" t="e">
        <f>D59</f>
        <v>#NUM!</v>
      </c>
    </row>
    <row r="64" spans="2:64" ht="17.25" customHeight="1">
      <c r="B64" s="337" t="s">
        <v>164</v>
      </c>
      <c r="C64" s="333"/>
      <c r="D64" s="339">
        <f>IFERROR(E42/E36,0)</f>
        <v>0</v>
      </c>
    </row>
    <row r="65" spans="2:4">
      <c r="B65" s="337" t="s">
        <v>165</v>
      </c>
      <c r="C65" s="333"/>
      <c r="D65" s="340">
        <f>IFERROR(E36/-D52,0)</f>
        <v>0</v>
      </c>
    </row>
    <row r="66" spans="2:4">
      <c r="B66" s="337" t="s">
        <v>166</v>
      </c>
      <c r="C66" s="333"/>
      <c r="D66" s="340">
        <f>IFERROR(E42/-D52,0)</f>
        <v>0</v>
      </c>
    </row>
    <row r="67" spans="2:4">
      <c r="B67" s="341" t="s">
        <v>167</v>
      </c>
      <c r="C67" s="342"/>
      <c r="D67" s="343">
        <f>IFERROR(AVERAGE(E42:N42)/-D52,0)</f>
        <v>0</v>
      </c>
    </row>
    <row r="68" spans="2:4"/>
  </sheetData>
  <sheetProtection sheet="1" objects="1" scenarios="1"/>
  <pageMargins left="0.7" right="0.7" top="0.75" bottom="0.75" header="0.3" footer="0.3"/>
  <pageSetup paperSize="9" scale="46" orientation="landscape" r:id="rId1"/>
  <customProperties>
    <customPr name="EASN380017"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1CC19-C7B1-4273-9C35-D61DA7CE7FD3}">
  <sheetPr>
    <tabColor theme="0" tint="-4.9989318521683403E-2"/>
    <pageSetUpPr fitToPage="1"/>
  </sheetPr>
  <dimension ref="A1:J467"/>
  <sheetViews>
    <sheetView showGridLines="0" zoomScale="90" zoomScaleNormal="90" workbookViewId="0">
      <pane ySplit="3" topLeftCell="A13" activePane="bottomLeft" state="frozen"/>
      <selection pane="bottomLeft" activeCell="D27" sqref="D27"/>
    </sheetView>
  </sheetViews>
  <sheetFormatPr defaultColWidth="0" defaultRowHeight="14.5" zeroHeight="1"/>
  <cols>
    <col min="1" max="1" width="2.81640625" customWidth="1"/>
    <col min="2" max="3" width="21.453125" customWidth="1"/>
    <col min="4" max="9" width="10" customWidth="1"/>
    <col min="10" max="10" width="2.81640625" customWidth="1"/>
    <col min="11" max="16384" width="9.1796875" hidden="1"/>
  </cols>
  <sheetData>
    <row r="1" spans="1:10">
      <c r="A1" s="89"/>
      <c r="B1" s="89"/>
      <c r="C1" s="89"/>
      <c r="D1" s="89"/>
      <c r="E1" s="89"/>
      <c r="F1" s="89"/>
      <c r="G1" s="89"/>
      <c r="H1" s="89"/>
      <c r="I1" s="89"/>
      <c r="J1" s="89"/>
    </row>
    <row r="2" spans="1:10" ht="33" customHeight="1">
      <c r="A2" s="89"/>
      <c r="B2" s="89"/>
      <c r="C2" s="89"/>
      <c r="D2" s="89"/>
      <c r="E2" s="89"/>
      <c r="F2" s="89"/>
      <c r="G2" s="89"/>
      <c r="H2" s="89"/>
      <c r="I2" s="89"/>
      <c r="J2" s="89"/>
    </row>
    <row r="3" spans="1:10">
      <c r="A3" s="89"/>
      <c r="B3" s="89"/>
      <c r="C3" s="89"/>
      <c r="D3" s="89"/>
      <c r="E3" s="89"/>
      <c r="F3" s="89"/>
      <c r="G3" s="89"/>
      <c r="H3" s="89"/>
      <c r="I3" s="89"/>
      <c r="J3" s="89"/>
    </row>
    <row r="4" spans="1:10"/>
    <row r="5" spans="1:10">
      <c r="B5" s="76" t="s">
        <v>168</v>
      </c>
      <c r="C5" s="76"/>
      <c r="D5" s="76"/>
      <c r="E5" s="76"/>
      <c r="F5" s="76"/>
      <c r="G5" s="76"/>
      <c r="H5" s="76"/>
      <c r="I5" s="76"/>
    </row>
    <row r="6" spans="1:10"/>
    <row r="7" spans="1:10">
      <c r="B7" s="77" t="s">
        <v>169</v>
      </c>
      <c r="C7" s="11"/>
      <c r="D7" s="85"/>
    </row>
    <row r="8" spans="1:10">
      <c r="B8" s="15" t="s">
        <v>170</v>
      </c>
      <c r="C8" s="73"/>
      <c r="D8" s="315">
        <v>45658</v>
      </c>
    </row>
    <row r="9" spans="1:10">
      <c r="B9" s="13" t="s">
        <v>171</v>
      </c>
      <c r="C9" s="132"/>
      <c r="D9" s="316">
        <v>0.05</v>
      </c>
    </row>
    <row r="10" spans="1:10">
      <c r="B10" s="13" t="s">
        <v>172</v>
      </c>
      <c r="C10" s="132"/>
      <c r="D10" s="317">
        <v>0.21</v>
      </c>
    </row>
    <row r="11" spans="1:10">
      <c r="B11" s="13" t="s">
        <v>173</v>
      </c>
      <c r="C11" s="132"/>
      <c r="D11" s="318">
        <v>144</v>
      </c>
    </row>
    <row r="12" spans="1:10">
      <c r="B12" s="14" t="s">
        <v>174</v>
      </c>
      <c r="C12" s="74"/>
      <c r="D12" s="319">
        <v>186</v>
      </c>
    </row>
    <row r="13" spans="1:10"/>
    <row r="14" spans="1:10">
      <c r="B14" s="76" t="s">
        <v>175</v>
      </c>
      <c r="C14" s="76"/>
      <c r="D14" s="76"/>
      <c r="E14" s="76"/>
      <c r="F14" s="76"/>
      <c r="G14" s="76"/>
      <c r="H14" s="76"/>
      <c r="I14" s="76"/>
    </row>
    <row r="15" spans="1:10" ht="14.5" customHeight="1">
      <c r="B15" s="3"/>
      <c r="C15" s="3"/>
      <c r="D15" s="3"/>
      <c r="E15" s="3"/>
      <c r="F15" s="3"/>
      <c r="G15" s="3"/>
      <c r="H15" s="3"/>
    </row>
    <row r="16" spans="1:10" ht="15" customHeight="1">
      <c r="B16" s="77" t="s">
        <v>176</v>
      </c>
      <c r="C16" s="11"/>
      <c r="D16" s="11">
        <v>2024</v>
      </c>
      <c r="E16" s="11">
        <v>2025</v>
      </c>
      <c r="F16" s="11">
        <v>2026</v>
      </c>
      <c r="G16" s="11">
        <v>2027</v>
      </c>
      <c r="H16" s="11">
        <v>2028</v>
      </c>
      <c r="I16" s="72" t="s">
        <v>177</v>
      </c>
    </row>
    <row r="17" spans="2:9">
      <c r="B17" s="75" t="s">
        <v>178</v>
      </c>
      <c r="C17" s="73"/>
      <c r="D17" s="320">
        <v>3.5999999999999997E-2</v>
      </c>
      <c r="E17" s="320">
        <v>3.2000000000000001E-2</v>
      </c>
      <c r="F17" s="320">
        <v>2.7E-2</v>
      </c>
      <c r="G17" s="320">
        <v>0.02</v>
      </c>
      <c r="H17" s="320">
        <v>0.02</v>
      </c>
      <c r="I17" s="321">
        <v>0.02</v>
      </c>
    </row>
    <row r="18" spans="2:9">
      <c r="B18" s="44" t="s">
        <v>179</v>
      </c>
      <c r="C18" s="132"/>
      <c r="D18" s="7"/>
      <c r="E18" s="322">
        <v>4.2999999999999997E-2</v>
      </c>
      <c r="F18" s="322">
        <v>3.7999999999999999E-2</v>
      </c>
      <c r="G18" s="322">
        <v>3.7999999999999999E-2</v>
      </c>
      <c r="H18" s="322">
        <v>3.7999999999999999E-2</v>
      </c>
      <c r="I18" s="323">
        <v>2.5000000000000001E-2</v>
      </c>
    </row>
    <row r="19" spans="2:9">
      <c r="B19" s="44" t="s">
        <v>180</v>
      </c>
      <c r="C19" s="132"/>
      <c r="D19" s="7"/>
      <c r="E19" s="322">
        <v>6.6000000000000003E-2</v>
      </c>
      <c r="F19" s="322">
        <v>3.6999999999999998E-2</v>
      </c>
      <c r="G19" s="322">
        <v>3.2000000000000001E-2</v>
      </c>
      <c r="H19" s="322">
        <v>2.5000000000000001E-2</v>
      </c>
      <c r="I19" s="323">
        <v>2.5000000000000001E-2</v>
      </c>
    </row>
    <row r="20" spans="2:9">
      <c r="B20" s="44" t="s">
        <v>181</v>
      </c>
      <c r="C20" s="132"/>
      <c r="D20" s="7"/>
      <c r="E20" s="322">
        <v>7.5999999999999998E-2</v>
      </c>
      <c r="F20" s="322">
        <v>4.2000000000000003E-2</v>
      </c>
      <c r="G20" s="322">
        <v>3.6999999999999998E-2</v>
      </c>
      <c r="H20" s="322">
        <v>0.03</v>
      </c>
      <c r="I20" s="323">
        <v>0.03</v>
      </c>
    </row>
    <row r="21" spans="2:9">
      <c r="B21" s="17" t="s">
        <v>182</v>
      </c>
      <c r="C21" s="132"/>
      <c r="D21" s="7"/>
      <c r="E21" s="322">
        <v>4.5999999999999999E-2</v>
      </c>
      <c r="F21" s="322">
        <v>4.2000000000000003E-2</v>
      </c>
      <c r="G21" s="322">
        <v>3.6999999999999998E-2</v>
      </c>
      <c r="H21" s="322">
        <v>0.03</v>
      </c>
      <c r="I21" s="323">
        <v>0.02</v>
      </c>
    </row>
    <row r="22" spans="2:9" ht="15.65" customHeight="1">
      <c r="B22" s="45" t="s">
        <v>183</v>
      </c>
      <c r="C22" s="74"/>
      <c r="D22" s="136"/>
      <c r="E22" s="324">
        <v>4.2999999999999997E-2</v>
      </c>
      <c r="F22" s="324">
        <v>3.7999999999999999E-2</v>
      </c>
      <c r="G22" s="324">
        <v>3.7999999999999999E-2</v>
      </c>
      <c r="H22" s="324">
        <v>3.7999999999999999E-2</v>
      </c>
      <c r="I22" s="325">
        <v>2.5000000000000001E-2</v>
      </c>
    </row>
    <row r="23" spans="2:9" ht="14.5" customHeight="1">
      <c r="B23" s="3"/>
      <c r="C23" s="3"/>
      <c r="D23" s="3"/>
      <c r="E23" s="3"/>
      <c r="F23" s="3"/>
      <c r="G23" s="3"/>
      <c r="H23" s="3"/>
    </row>
    <row r="24" spans="2:9" ht="15" customHeight="1">
      <c r="B24" s="78" t="s">
        <v>184</v>
      </c>
      <c r="C24" s="9"/>
      <c r="D24" s="135"/>
    </row>
    <row r="25" spans="2:9">
      <c r="B25" s="75" t="s">
        <v>151</v>
      </c>
      <c r="C25" s="73"/>
      <c r="D25" s="326">
        <v>0.01</v>
      </c>
    </row>
    <row r="26" spans="2:9" ht="15" customHeight="1">
      <c r="B26" s="44" t="s">
        <v>185</v>
      </c>
      <c r="C26" s="129"/>
      <c r="D26" s="327">
        <v>4.1700000000000001E-2</v>
      </c>
    </row>
    <row r="27" spans="2:9" ht="15" customHeight="1">
      <c r="B27" s="45" t="s">
        <v>186</v>
      </c>
      <c r="C27" s="70"/>
      <c r="D27" s="328">
        <v>4.7E-2</v>
      </c>
    </row>
    <row r="28" spans="2:9" ht="15" customHeight="1"/>
    <row r="29" spans="2:9">
      <c r="B29" s="76" t="s">
        <v>187</v>
      </c>
      <c r="C29" s="76"/>
      <c r="D29" s="76"/>
      <c r="E29" s="76"/>
      <c r="F29" s="76"/>
      <c r="G29" s="76"/>
      <c r="H29" s="76"/>
      <c r="I29" s="76"/>
    </row>
    <row r="30" spans="2:9"/>
    <row r="31" spans="2:9">
      <c r="B31" s="78" t="s">
        <v>176</v>
      </c>
      <c r="C31" s="9"/>
      <c r="D31" s="135"/>
    </row>
    <row r="32" spans="2:9">
      <c r="B32" s="75" t="s">
        <v>188</v>
      </c>
      <c r="C32" s="69"/>
      <c r="D32" s="321">
        <v>0.02</v>
      </c>
    </row>
    <row r="33" spans="2:9">
      <c r="B33" s="45" t="s">
        <v>189</v>
      </c>
      <c r="C33" s="70"/>
      <c r="D33" s="325">
        <v>0.01</v>
      </c>
    </row>
    <row r="34" spans="2:9"/>
    <row r="35" spans="2:9">
      <c r="B35" s="332" t="s">
        <v>190</v>
      </c>
      <c r="C35" s="332"/>
      <c r="D35" s="332"/>
      <c r="E35" s="332"/>
      <c r="F35" s="89"/>
      <c r="G35" s="89"/>
      <c r="H35" s="89"/>
      <c r="I35" s="89"/>
    </row>
    <row r="36" spans="2:9"/>
    <row r="37" spans="2:9">
      <c r="B37" s="144" t="s">
        <v>58</v>
      </c>
      <c r="C37" s="145" t="s">
        <v>191</v>
      </c>
      <c r="D37" s="63"/>
      <c r="E37" s="63"/>
    </row>
    <row r="38" spans="2:9">
      <c r="B38" s="141" t="s">
        <v>192</v>
      </c>
      <c r="C38" s="329">
        <v>241.44</v>
      </c>
      <c r="E38" s="150" t="s">
        <v>193</v>
      </c>
    </row>
    <row r="39" spans="2:9">
      <c r="B39" s="142">
        <v>0</v>
      </c>
      <c r="C39" s="330">
        <v>241.44</v>
      </c>
    </row>
    <row r="40" spans="2:9">
      <c r="B40" s="142">
        <v>1</v>
      </c>
      <c r="C40" s="330">
        <v>241.44</v>
      </c>
    </row>
    <row r="41" spans="2:9">
      <c r="B41" s="142">
        <v>2</v>
      </c>
      <c r="C41" s="330">
        <v>241.44</v>
      </c>
    </row>
    <row r="42" spans="2:9">
      <c r="B42" s="142">
        <v>3</v>
      </c>
      <c r="C42" s="330">
        <v>241.44</v>
      </c>
    </row>
    <row r="43" spans="2:9">
      <c r="B43" s="142">
        <v>4</v>
      </c>
      <c r="C43" s="330">
        <v>241.44</v>
      </c>
    </row>
    <row r="44" spans="2:9">
      <c r="B44" s="142">
        <v>5</v>
      </c>
      <c r="C44" s="330">
        <v>241.44</v>
      </c>
    </row>
    <row r="45" spans="2:9">
      <c r="B45" s="142">
        <v>6</v>
      </c>
      <c r="C45" s="330">
        <v>241.44</v>
      </c>
    </row>
    <row r="46" spans="2:9">
      <c r="B46" s="142">
        <v>7</v>
      </c>
      <c r="C46" s="330">
        <v>241.44</v>
      </c>
    </row>
    <row r="47" spans="2:9">
      <c r="B47" s="142">
        <v>8</v>
      </c>
      <c r="C47" s="330">
        <v>241.44</v>
      </c>
    </row>
    <row r="48" spans="2:9">
      <c r="B48" s="142">
        <v>9</v>
      </c>
      <c r="C48" s="330">
        <v>241.44</v>
      </c>
    </row>
    <row r="49" spans="2:3">
      <c r="B49" s="142">
        <v>10</v>
      </c>
      <c r="C49" s="330">
        <v>241.44</v>
      </c>
    </row>
    <row r="50" spans="2:3">
      <c r="B50" s="142">
        <v>11</v>
      </c>
      <c r="C50" s="330">
        <v>241.44</v>
      </c>
    </row>
    <row r="51" spans="2:3">
      <c r="B51" s="142">
        <v>12</v>
      </c>
      <c r="C51" s="330">
        <v>241.44</v>
      </c>
    </row>
    <row r="52" spans="2:3">
      <c r="B52" s="142">
        <v>13</v>
      </c>
      <c r="C52" s="330">
        <v>241.44</v>
      </c>
    </row>
    <row r="53" spans="2:3">
      <c r="B53" s="142">
        <v>14</v>
      </c>
      <c r="C53" s="330">
        <v>241.44</v>
      </c>
    </row>
    <row r="54" spans="2:3">
      <c r="B54" s="142">
        <v>15</v>
      </c>
      <c r="C54" s="330">
        <v>241.44</v>
      </c>
    </row>
    <row r="55" spans="2:3">
      <c r="B55" s="142">
        <v>16</v>
      </c>
      <c r="C55" s="330">
        <v>241.44</v>
      </c>
    </row>
    <row r="56" spans="2:3">
      <c r="B56" s="142">
        <v>17</v>
      </c>
      <c r="C56" s="330">
        <v>241.44</v>
      </c>
    </row>
    <row r="57" spans="2:3">
      <c r="B57" s="142">
        <v>18</v>
      </c>
      <c r="C57" s="330">
        <v>241.44</v>
      </c>
    </row>
    <row r="58" spans="2:3">
      <c r="B58" s="142">
        <v>19</v>
      </c>
      <c r="C58" s="330">
        <v>241.44</v>
      </c>
    </row>
    <row r="59" spans="2:3">
      <c r="B59" s="142">
        <v>20</v>
      </c>
      <c r="C59" s="330">
        <v>241.44</v>
      </c>
    </row>
    <row r="60" spans="2:3">
      <c r="B60" s="142">
        <v>21</v>
      </c>
      <c r="C60" s="330">
        <v>241.44</v>
      </c>
    </row>
    <row r="61" spans="2:3">
      <c r="B61" s="142">
        <v>22</v>
      </c>
      <c r="C61" s="330">
        <v>241.44</v>
      </c>
    </row>
    <row r="62" spans="2:3">
      <c r="B62" s="142">
        <v>23</v>
      </c>
      <c r="C62" s="330">
        <v>241.44</v>
      </c>
    </row>
    <row r="63" spans="2:3">
      <c r="B63" s="142">
        <v>24</v>
      </c>
      <c r="C63" s="330">
        <v>241.44</v>
      </c>
    </row>
    <row r="64" spans="2:3">
      <c r="B64" s="142">
        <v>25</v>
      </c>
      <c r="C64" s="330">
        <v>241.44</v>
      </c>
    </row>
    <row r="65" spans="2:3">
      <c r="B65" s="142">
        <v>26</v>
      </c>
      <c r="C65" s="330">
        <v>241.44</v>
      </c>
    </row>
    <row r="66" spans="2:3">
      <c r="B66" s="142">
        <v>27</v>
      </c>
      <c r="C66" s="330">
        <v>241.44</v>
      </c>
    </row>
    <row r="67" spans="2:3">
      <c r="B67" s="142">
        <v>28</v>
      </c>
      <c r="C67" s="330">
        <v>241.44</v>
      </c>
    </row>
    <row r="68" spans="2:3">
      <c r="B68" s="142">
        <v>29</v>
      </c>
      <c r="C68" s="330">
        <v>241.44</v>
      </c>
    </row>
    <row r="69" spans="2:3">
      <c r="B69" s="142">
        <v>30</v>
      </c>
      <c r="C69" s="330">
        <v>241.44</v>
      </c>
    </row>
    <row r="70" spans="2:3">
      <c r="B70" s="142">
        <v>31</v>
      </c>
      <c r="C70" s="330">
        <v>241.44</v>
      </c>
    </row>
    <row r="71" spans="2:3">
      <c r="B71" s="142">
        <v>32</v>
      </c>
      <c r="C71" s="330">
        <v>241.44</v>
      </c>
    </row>
    <row r="72" spans="2:3">
      <c r="B72" s="142">
        <v>33</v>
      </c>
      <c r="C72" s="330">
        <v>241.44</v>
      </c>
    </row>
    <row r="73" spans="2:3">
      <c r="B73" s="142">
        <v>34</v>
      </c>
      <c r="C73" s="330">
        <v>241.44</v>
      </c>
    </row>
    <row r="74" spans="2:3">
      <c r="B74" s="142">
        <v>35</v>
      </c>
      <c r="C74" s="330">
        <v>241.44</v>
      </c>
    </row>
    <row r="75" spans="2:3">
      <c r="B75" s="142">
        <v>36</v>
      </c>
      <c r="C75" s="330">
        <v>241.44</v>
      </c>
    </row>
    <row r="76" spans="2:3">
      <c r="B76" s="142">
        <v>37</v>
      </c>
      <c r="C76" s="330">
        <v>241.44</v>
      </c>
    </row>
    <row r="77" spans="2:3">
      <c r="B77" s="142">
        <v>38</v>
      </c>
      <c r="C77" s="330">
        <v>241.44</v>
      </c>
    </row>
    <row r="78" spans="2:3">
      <c r="B78" s="142">
        <v>39</v>
      </c>
      <c r="C78" s="330">
        <v>241.44</v>
      </c>
    </row>
    <row r="79" spans="2:3">
      <c r="B79" s="142">
        <v>40</v>
      </c>
      <c r="C79" s="330">
        <v>241.44</v>
      </c>
    </row>
    <row r="80" spans="2:3">
      <c r="B80" s="142">
        <v>41</v>
      </c>
      <c r="C80" s="330">
        <v>247.49</v>
      </c>
    </row>
    <row r="81" spans="2:3">
      <c r="B81" s="142">
        <v>42</v>
      </c>
      <c r="C81" s="330">
        <v>253.49</v>
      </c>
    </row>
    <row r="82" spans="2:3">
      <c r="B82" s="142">
        <v>43</v>
      </c>
      <c r="C82" s="330">
        <v>259.54000000000002</v>
      </c>
    </row>
    <row r="83" spans="2:3">
      <c r="B83" s="142">
        <v>44</v>
      </c>
      <c r="C83" s="330">
        <v>265.57</v>
      </c>
    </row>
    <row r="84" spans="2:3">
      <c r="B84" s="142">
        <v>45</v>
      </c>
      <c r="C84" s="330">
        <v>271.58</v>
      </c>
    </row>
    <row r="85" spans="2:3">
      <c r="B85" s="142">
        <v>46</v>
      </c>
      <c r="C85" s="330">
        <v>277.64</v>
      </c>
    </row>
    <row r="86" spans="2:3">
      <c r="B86" s="142">
        <v>47</v>
      </c>
      <c r="C86" s="330">
        <v>283.67</v>
      </c>
    </row>
    <row r="87" spans="2:3">
      <c r="B87" s="142">
        <v>48</v>
      </c>
      <c r="C87" s="330">
        <v>289.70999999999998</v>
      </c>
    </row>
    <row r="88" spans="2:3">
      <c r="B88" s="142">
        <v>49</v>
      </c>
      <c r="C88" s="330">
        <v>295.74</v>
      </c>
    </row>
    <row r="89" spans="2:3">
      <c r="B89" s="142">
        <v>50</v>
      </c>
      <c r="C89" s="330">
        <v>301.77999999999997</v>
      </c>
    </row>
    <row r="90" spans="2:3">
      <c r="B90" s="142">
        <v>51</v>
      </c>
      <c r="C90" s="330">
        <v>307.77999999999997</v>
      </c>
    </row>
    <row r="91" spans="2:3">
      <c r="B91" s="142">
        <v>52</v>
      </c>
      <c r="C91" s="330">
        <v>313.83999999999997</v>
      </c>
    </row>
    <row r="92" spans="2:3">
      <c r="B92" s="142">
        <v>53</v>
      </c>
      <c r="C92" s="330">
        <v>319.86</v>
      </c>
    </row>
    <row r="93" spans="2:3">
      <c r="B93" s="142">
        <v>54</v>
      </c>
      <c r="C93" s="330">
        <v>325.89999999999998</v>
      </c>
    </row>
    <row r="94" spans="2:3">
      <c r="B94" s="142">
        <v>55</v>
      </c>
      <c r="C94" s="330">
        <v>331.93</v>
      </c>
    </row>
    <row r="95" spans="2:3">
      <c r="B95" s="142">
        <v>56</v>
      </c>
      <c r="C95" s="330">
        <v>338.01</v>
      </c>
    </row>
    <row r="96" spans="2:3">
      <c r="B96" s="142">
        <v>57</v>
      </c>
      <c r="C96" s="330">
        <v>343.97</v>
      </c>
    </row>
    <row r="97" spans="2:3">
      <c r="B97" s="142">
        <v>58</v>
      </c>
      <c r="C97" s="330">
        <v>350.01</v>
      </c>
    </row>
    <row r="98" spans="2:3">
      <c r="B98" s="142">
        <v>59</v>
      </c>
      <c r="C98" s="330">
        <v>356.09</v>
      </c>
    </row>
    <row r="99" spans="2:3">
      <c r="B99" s="142">
        <v>60</v>
      </c>
      <c r="C99" s="330">
        <v>362.1</v>
      </c>
    </row>
    <row r="100" spans="2:3">
      <c r="B100" s="142">
        <v>61</v>
      </c>
      <c r="C100" s="330">
        <v>368.11</v>
      </c>
    </row>
    <row r="101" spans="2:3">
      <c r="B101" s="142">
        <v>62</v>
      </c>
      <c r="C101" s="330">
        <v>374.17</v>
      </c>
    </row>
    <row r="102" spans="2:3">
      <c r="B102" s="142">
        <v>63</v>
      </c>
      <c r="C102" s="330">
        <v>380.18</v>
      </c>
    </row>
    <row r="103" spans="2:3">
      <c r="B103" s="142">
        <v>64</v>
      </c>
      <c r="C103" s="330">
        <v>386.22</v>
      </c>
    </row>
    <row r="104" spans="2:3">
      <c r="B104" s="142">
        <v>65</v>
      </c>
      <c r="C104" s="330">
        <v>392.26</v>
      </c>
    </row>
    <row r="105" spans="2:3">
      <c r="B105" s="142">
        <v>66</v>
      </c>
      <c r="C105" s="330">
        <v>398.31</v>
      </c>
    </row>
    <row r="106" spans="2:3">
      <c r="B106" s="142">
        <v>67</v>
      </c>
      <c r="C106" s="330">
        <v>404.34</v>
      </c>
    </row>
    <row r="107" spans="2:3">
      <c r="B107" s="142">
        <v>68</v>
      </c>
      <c r="C107" s="330">
        <v>410.35</v>
      </c>
    </row>
    <row r="108" spans="2:3">
      <c r="B108" s="142">
        <v>69</v>
      </c>
      <c r="C108" s="330">
        <v>416.36</v>
      </c>
    </row>
    <row r="109" spans="2:3">
      <c r="B109" s="142">
        <v>70</v>
      </c>
      <c r="C109" s="330">
        <v>422.39</v>
      </c>
    </row>
    <row r="110" spans="2:3">
      <c r="B110" s="142">
        <v>71</v>
      </c>
      <c r="C110" s="330">
        <v>428.45</v>
      </c>
    </row>
    <row r="111" spans="2:3">
      <c r="B111" s="142">
        <v>72</v>
      </c>
      <c r="C111" s="330">
        <v>434.5</v>
      </c>
    </row>
    <row r="112" spans="2:3">
      <c r="B112" s="142">
        <v>73</v>
      </c>
      <c r="C112" s="330">
        <v>440.49</v>
      </c>
    </row>
    <row r="113" spans="2:3">
      <c r="B113" s="142">
        <v>74</v>
      </c>
      <c r="C113" s="330">
        <v>446.56</v>
      </c>
    </row>
    <row r="114" spans="2:3">
      <c r="B114" s="142">
        <v>75</v>
      </c>
      <c r="C114" s="330">
        <v>452.57</v>
      </c>
    </row>
    <row r="115" spans="2:3">
      <c r="B115" s="142">
        <v>76</v>
      </c>
      <c r="C115" s="330">
        <v>458.62</v>
      </c>
    </row>
    <row r="116" spans="2:3">
      <c r="B116" s="142">
        <v>77</v>
      </c>
      <c r="C116" s="330">
        <v>464.64</v>
      </c>
    </row>
    <row r="117" spans="2:3">
      <c r="B117" s="142">
        <v>78</v>
      </c>
      <c r="C117" s="330">
        <v>470.71</v>
      </c>
    </row>
    <row r="118" spans="2:3">
      <c r="B118" s="142">
        <v>79</v>
      </c>
      <c r="C118" s="330">
        <v>476.7</v>
      </c>
    </row>
    <row r="119" spans="2:3">
      <c r="B119" s="142">
        <v>80</v>
      </c>
      <c r="C119" s="330">
        <v>482.76</v>
      </c>
    </row>
    <row r="120" spans="2:3">
      <c r="B120" s="142">
        <v>81</v>
      </c>
      <c r="C120" s="330">
        <v>489.35</v>
      </c>
    </row>
    <row r="121" spans="2:3">
      <c r="B121" s="142">
        <v>82</v>
      </c>
      <c r="C121" s="330">
        <v>495.97</v>
      </c>
    </row>
    <row r="122" spans="2:3">
      <c r="B122" s="142">
        <v>83</v>
      </c>
      <c r="C122" s="330">
        <v>502.61</v>
      </c>
    </row>
    <row r="123" spans="2:3">
      <c r="B123" s="142">
        <v>84</v>
      </c>
      <c r="C123" s="330">
        <v>509.22</v>
      </c>
    </row>
    <row r="124" spans="2:3">
      <c r="B124" s="142">
        <v>85</v>
      </c>
      <c r="C124" s="330">
        <v>515.87</v>
      </c>
    </row>
    <row r="125" spans="2:3">
      <c r="B125" s="142">
        <v>86</v>
      </c>
      <c r="C125" s="330">
        <v>522.49</v>
      </c>
    </row>
    <row r="126" spans="2:3">
      <c r="B126" s="142">
        <v>87</v>
      </c>
      <c r="C126" s="330">
        <v>529.09</v>
      </c>
    </row>
    <row r="127" spans="2:3">
      <c r="B127" s="142">
        <v>88</v>
      </c>
      <c r="C127" s="330">
        <v>535.73</v>
      </c>
    </row>
    <row r="128" spans="2:3">
      <c r="B128" s="142">
        <v>89</v>
      </c>
      <c r="C128" s="330">
        <v>542.33000000000004</v>
      </c>
    </row>
    <row r="129" spans="2:3">
      <c r="B129" s="142">
        <v>90</v>
      </c>
      <c r="C129" s="330">
        <v>548.99</v>
      </c>
    </row>
    <row r="130" spans="2:3">
      <c r="B130" s="142">
        <v>91</v>
      </c>
      <c r="C130" s="330">
        <v>555.59</v>
      </c>
    </row>
    <row r="131" spans="2:3">
      <c r="B131" s="142">
        <v>92</v>
      </c>
      <c r="C131" s="330">
        <v>562.19000000000005</v>
      </c>
    </row>
    <row r="132" spans="2:3">
      <c r="B132" s="142">
        <v>93</v>
      </c>
      <c r="C132" s="330">
        <v>568.84</v>
      </c>
    </row>
    <row r="133" spans="2:3">
      <c r="B133" s="142">
        <v>94</v>
      </c>
      <c r="C133" s="330">
        <v>575.44000000000005</v>
      </c>
    </row>
    <row r="134" spans="2:3">
      <c r="B134" s="142">
        <v>95</v>
      </c>
      <c r="C134" s="330">
        <v>582.07000000000005</v>
      </c>
    </row>
    <row r="135" spans="2:3">
      <c r="B135" s="142">
        <v>96</v>
      </c>
      <c r="C135" s="330">
        <v>588.70000000000005</v>
      </c>
    </row>
    <row r="136" spans="2:3">
      <c r="B136" s="142">
        <v>97</v>
      </c>
      <c r="C136" s="330">
        <v>595.35</v>
      </c>
    </row>
    <row r="137" spans="2:3">
      <c r="B137" s="142">
        <v>98</v>
      </c>
      <c r="C137" s="330">
        <v>601.96</v>
      </c>
    </row>
    <row r="138" spans="2:3">
      <c r="B138" s="142">
        <v>99</v>
      </c>
      <c r="C138" s="330">
        <v>608.6</v>
      </c>
    </row>
    <row r="139" spans="2:3">
      <c r="B139" s="142">
        <v>100</v>
      </c>
      <c r="C139" s="330">
        <v>615.21</v>
      </c>
    </row>
    <row r="140" spans="2:3">
      <c r="B140" s="142">
        <v>101</v>
      </c>
      <c r="C140" s="330">
        <v>621.83000000000004</v>
      </c>
    </row>
    <row r="141" spans="2:3">
      <c r="B141" s="142">
        <v>102</v>
      </c>
      <c r="C141" s="330">
        <v>628.41999999999996</v>
      </c>
    </row>
    <row r="142" spans="2:3">
      <c r="B142" s="142">
        <v>103</v>
      </c>
      <c r="C142" s="330">
        <v>635.05999999999995</v>
      </c>
    </row>
    <row r="143" spans="2:3">
      <c r="B143" s="142">
        <v>104</v>
      </c>
      <c r="C143" s="330">
        <v>641.69000000000005</v>
      </c>
    </row>
    <row r="144" spans="2:3">
      <c r="B144" s="142">
        <v>105</v>
      </c>
      <c r="C144" s="330">
        <v>648.28</v>
      </c>
    </row>
    <row r="145" spans="2:3">
      <c r="B145" s="142">
        <v>106</v>
      </c>
      <c r="C145" s="330">
        <v>654.94000000000005</v>
      </c>
    </row>
    <row r="146" spans="2:3">
      <c r="B146" s="142">
        <v>107</v>
      </c>
      <c r="C146" s="330">
        <v>661.55</v>
      </c>
    </row>
    <row r="147" spans="2:3">
      <c r="B147" s="142">
        <v>108</v>
      </c>
      <c r="C147" s="330">
        <v>668.17</v>
      </c>
    </row>
    <row r="148" spans="2:3">
      <c r="B148" s="142">
        <v>109</v>
      </c>
      <c r="C148" s="330">
        <v>674.81</v>
      </c>
    </row>
    <row r="149" spans="2:3">
      <c r="B149" s="142">
        <v>110</v>
      </c>
      <c r="C149" s="330">
        <v>681.44</v>
      </c>
    </row>
    <row r="150" spans="2:3">
      <c r="B150" s="142">
        <v>111</v>
      </c>
      <c r="C150" s="330">
        <v>688.08</v>
      </c>
    </row>
    <row r="151" spans="2:3">
      <c r="B151" s="142">
        <v>112</v>
      </c>
      <c r="C151" s="330">
        <v>694.69</v>
      </c>
    </row>
    <row r="152" spans="2:3">
      <c r="B152" s="142">
        <v>113</v>
      </c>
      <c r="C152" s="330">
        <v>701.3</v>
      </c>
    </row>
    <row r="153" spans="2:3">
      <c r="B153" s="142">
        <v>114</v>
      </c>
      <c r="C153" s="330">
        <v>707.95</v>
      </c>
    </row>
    <row r="154" spans="2:3">
      <c r="B154" s="142">
        <v>115</v>
      </c>
      <c r="C154" s="330">
        <v>714.57</v>
      </c>
    </row>
    <row r="155" spans="2:3">
      <c r="B155" s="142">
        <v>116</v>
      </c>
      <c r="C155" s="330">
        <v>721.18</v>
      </c>
    </row>
    <row r="156" spans="2:3">
      <c r="B156" s="142">
        <v>117</v>
      </c>
      <c r="C156" s="330">
        <v>727.8</v>
      </c>
    </row>
    <row r="157" spans="2:3">
      <c r="B157" s="142">
        <v>118</v>
      </c>
      <c r="C157" s="330">
        <v>734.4</v>
      </c>
    </row>
    <row r="158" spans="2:3">
      <c r="B158" s="142">
        <v>119</v>
      </c>
      <c r="C158" s="330">
        <v>741.03</v>
      </c>
    </row>
    <row r="159" spans="2:3">
      <c r="B159" s="142">
        <v>120</v>
      </c>
      <c r="C159" s="330">
        <v>747.65</v>
      </c>
    </row>
    <row r="160" spans="2:3">
      <c r="B160" s="142">
        <v>121</v>
      </c>
      <c r="C160" s="330">
        <v>754.31</v>
      </c>
    </row>
    <row r="161" spans="2:3">
      <c r="B161" s="142">
        <v>122</v>
      </c>
      <c r="C161" s="330">
        <v>760.93</v>
      </c>
    </row>
    <row r="162" spans="2:3">
      <c r="B162" s="142">
        <v>123</v>
      </c>
      <c r="C162" s="330">
        <v>767.54</v>
      </c>
    </row>
    <row r="163" spans="2:3">
      <c r="B163" s="142">
        <v>124</v>
      </c>
      <c r="C163" s="330">
        <v>774.18</v>
      </c>
    </row>
    <row r="164" spans="2:3">
      <c r="B164" s="142">
        <v>125</v>
      </c>
      <c r="C164" s="330">
        <v>780.8</v>
      </c>
    </row>
    <row r="165" spans="2:3">
      <c r="B165" s="142">
        <v>126</v>
      </c>
      <c r="C165" s="330">
        <v>787.4</v>
      </c>
    </row>
    <row r="166" spans="2:3">
      <c r="B166" s="142">
        <v>127</v>
      </c>
      <c r="C166" s="330">
        <v>794.03</v>
      </c>
    </row>
    <row r="167" spans="2:3">
      <c r="B167" s="142">
        <v>128</v>
      </c>
      <c r="C167" s="330">
        <v>800.71</v>
      </c>
    </row>
    <row r="168" spans="2:3">
      <c r="B168" s="142">
        <v>129</v>
      </c>
      <c r="C168" s="330">
        <v>807.27</v>
      </c>
    </row>
    <row r="169" spans="2:3">
      <c r="B169" s="142">
        <v>130</v>
      </c>
      <c r="C169" s="330">
        <v>813.91</v>
      </c>
    </row>
    <row r="170" spans="2:3">
      <c r="B170" s="142">
        <v>131</v>
      </c>
      <c r="C170" s="330">
        <v>820.54</v>
      </c>
    </row>
    <row r="171" spans="2:3">
      <c r="B171" s="142">
        <v>132</v>
      </c>
      <c r="C171" s="330">
        <v>827.14</v>
      </c>
    </row>
    <row r="172" spans="2:3">
      <c r="B172" s="142">
        <v>133</v>
      </c>
      <c r="C172" s="330">
        <v>833.8</v>
      </c>
    </row>
    <row r="173" spans="2:3">
      <c r="B173" s="142">
        <v>134</v>
      </c>
      <c r="C173" s="330">
        <v>840.38</v>
      </c>
    </row>
    <row r="174" spans="2:3">
      <c r="B174" s="142">
        <v>135</v>
      </c>
      <c r="C174" s="330">
        <v>847.05</v>
      </c>
    </row>
    <row r="175" spans="2:3">
      <c r="B175" s="142">
        <v>136</v>
      </c>
      <c r="C175" s="330">
        <v>853.63</v>
      </c>
    </row>
    <row r="176" spans="2:3">
      <c r="B176" s="142">
        <v>137</v>
      </c>
      <c r="C176" s="330">
        <v>860.27</v>
      </c>
    </row>
    <row r="177" spans="2:3">
      <c r="B177" s="142">
        <v>138</v>
      </c>
      <c r="C177" s="330">
        <v>866.91</v>
      </c>
    </row>
    <row r="178" spans="2:3">
      <c r="B178" s="142">
        <v>139</v>
      </c>
      <c r="C178" s="330">
        <v>873.5</v>
      </c>
    </row>
    <row r="179" spans="2:3">
      <c r="B179" s="142">
        <v>140</v>
      </c>
      <c r="C179" s="330">
        <v>880.13</v>
      </c>
    </row>
    <row r="180" spans="2:3">
      <c r="B180" s="142">
        <v>141</v>
      </c>
      <c r="C180" s="330">
        <v>886.77</v>
      </c>
    </row>
    <row r="181" spans="2:3">
      <c r="B181" s="142">
        <v>142</v>
      </c>
      <c r="C181" s="330">
        <v>893.37</v>
      </c>
    </row>
    <row r="182" spans="2:3">
      <c r="B182" s="142">
        <v>143</v>
      </c>
      <c r="C182" s="330">
        <v>900.07</v>
      </c>
    </row>
    <row r="183" spans="2:3">
      <c r="B183" s="142">
        <v>144</v>
      </c>
      <c r="C183" s="330">
        <v>906.63</v>
      </c>
    </row>
    <row r="184" spans="2:3">
      <c r="B184" s="142">
        <v>145</v>
      </c>
      <c r="C184" s="330">
        <v>913.27</v>
      </c>
    </row>
    <row r="185" spans="2:3">
      <c r="B185" s="142">
        <v>146</v>
      </c>
      <c r="C185" s="330">
        <v>919.87</v>
      </c>
    </row>
    <row r="186" spans="2:3">
      <c r="B186" s="142">
        <v>147</v>
      </c>
      <c r="C186" s="330">
        <v>926.51</v>
      </c>
    </row>
    <row r="187" spans="2:3">
      <c r="B187" s="142">
        <v>148</v>
      </c>
      <c r="C187" s="330">
        <v>933.12</v>
      </c>
    </row>
    <row r="188" spans="2:3">
      <c r="B188" s="142">
        <v>149</v>
      </c>
      <c r="C188" s="330">
        <v>939.75</v>
      </c>
    </row>
    <row r="189" spans="2:3">
      <c r="B189" s="142">
        <v>150</v>
      </c>
      <c r="C189" s="330">
        <v>946.36</v>
      </c>
    </row>
    <row r="190" spans="2:3">
      <c r="B190" s="142">
        <v>151</v>
      </c>
      <c r="C190" s="330">
        <v>952.99</v>
      </c>
    </row>
    <row r="191" spans="2:3">
      <c r="B191" s="142">
        <v>152</v>
      </c>
      <c r="C191" s="330">
        <v>959.6</v>
      </c>
    </row>
    <row r="192" spans="2:3">
      <c r="B192" s="142">
        <v>153</v>
      </c>
      <c r="C192" s="330">
        <v>966.23</v>
      </c>
    </row>
    <row r="193" spans="2:3">
      <c r="B193" s="142">
        <v>154</v>
      </c>
      <c r="C193" s="330">
        <v>972.84</v>
      </c>
    </row>
    <row r="194" spans="2:3">
      <c r="B194" s="142">
        <v>155</v>
      </c>
      <c r="C194" s="330">
        <v>979.47</v>
      </c>
    </row>
    <row r="195" spans="2:3">
      <c r="B195" s="142">
        <v>156</v>
      </c>
      <c r="C195" s="330">
        <v>986.07</v>
      </c>
    </row>
    <row r="196" spans="2:3">
      <c r="B196" s="142">
        <v>157</v>
      </c>
      <c r="C196" s="330">
        <v>992.76</v>
      </c>
    </row>
    <row r="197" spans="2:3">
      <c r="B197" s="142">
        <v>158</v>
      </c>
      <c r="C197" s="330">
        <v>999.33</v>
      </c>
    </row>
    <row r="198" spans="2:3">
      <c r="B198" s="142">
        <v>159</v>
      </c>
      <c r="C198" s="330">
        <v>1006.01</v>
      </c>
    </row>
    <row r="199" spans="2:3">
      <c r="B199" s="142">
        <v>160</v>
      </c>
      <c r="C199" s="330">
        <v>1012.61</v>
      </c>
    </row>
    <row r="200" spans="2:3">
      <c r="B200" s="142">
        <v>161</v>
      </c>
      <c r="C200" s="330">
        <v>1019.21</v>
      </c>
    </row>
    <row r="201" spans="2:3">
      <c r="B201" s="142">
        <v>162</v>
      </c>
      <c r="C201" s="330">
        <v>1025.8699999999999</v>
      </c>
    </row>
    <row r="202" spans="2:3">
      <c r="B202" s="142">
        <v>163</v>
      </c>
      <c r="C202" s="330">
        <v>1032.45</v>
      </c>
    </row>
    <row r="203" spans="2:3">
      <c r="B203" s="142">
        <v>164</v>
      </c>
      <c r="C203" s="330">
        <v>1039.07</v>
      </c>
    </row>
    <row r="204" spans="2:3">
      <c r="B204" s="142">
        <v>165</v>
      </c>
      <c r="C204" s="330">
        <v>1045.71</v>
      </c>
    </row>
    <row r="205" spans="2:3">
      <c r="B205" s="142">
        <v>166</v>
      </c>
      <c r="C205" s="330">
        <v>1052.3499999999999</v>
      </c>
    </row>
    <row r="206" spans="2:3">
      <c r="B206" s="142">
        <v>167</v>
      </c>
      <c r="C206" s="330">
        <v>1058.95</v>
      </c>
    </row>
    <row r="207" spans="2:3">
      <c r="B207" s="142">
        <v>168</v>
      </c>
      <c r="C207" s="330">
        <v>1065.56</v>
      </c>
    </row>
    <row r="208" spans="2:3">
      <c r="B208" s="142">
        <v>169</v>
      </c>
      <c r="C208" s="330">
        <v>1072.25</v>
      </c>
    </row>
    <row r="209" spans="2:3">
      <c r="B209" s="142">
        <v>170</v>
      </c>
      <c r="C209" s="330">
        <v>1078.8499999999999</v>
      </c>
    </row>
    <row r="210" spans="2:3">
      <c r="B210" s="142">
        <v>171</v>
      </c>
      <c r="C210" s="330">
        <v>1085.46</v>
      </c>
    </row>
    <row r="211" spans="2:3">
      <c r="B211" s="142">
        <v>172</v>
      </c>
      <c r="C211" s="330">
        <v>1092.08</v>
      </c>
    </row>
    <row r="212" spans="2:3">
      <c r="B212" s="142">
        <v>173</v>
      </c>
      <c r="C212" s="330">
        <v>1098.74</v>
      </c>
    </row>
    <row r="213" spans="2:3">
      <c r="B213" s="142">
        <v>174</v>
      </c>
      <c r="C213" s="330">
        <v>1105.3399999999999</v>
      </c>
    </row>
    <row r="214" spans="2:3">
      <c r="B214" s="142">
        <v>175</v>
      </c>
      <c r="C214" s="330">
        <v>1111.96</v>
      </c>
    </row>
    <row r="215" spans="2:3">
      <c r="B215" s="142">
        <v>176</v>
      </c>
      <c r="C215" s="330">
        <v>1118.57</v>
      </c>
    </row>
    <row r="216" spans="2:3">
      <c r="B216" s="142">
        <v>177</v>
      </c>
      <c r="C216" s="330">
        <v>1125.2</v>
      </c>
    </row>
    <row r="217" spans="2:3">
      <c r="B217" s="142">
        <v>178</v>
      </c>
      <c r="C217" s="330">
        <v>1131.83</v>
      </c>
    </row>
    <row r="218" spans="2:3">
      <c r="B218" s="142">
        <v>179</v>
      </c>
      <c r="C218" s="330">
        <v>1138.45</v>
      </c>
    </row>
    <row r="219" spans="2:3">
      <c r="B219" s="142">
        <v>180</v>
      </c>
      <c r="C219" s="330">
        <v>1145.04</v>
      </c>
    </row>
    <row r="220" spans="2:3">
      <c r="B220" s="142">
        <v>181</v>
      </c>
      <c r="C220" s="330">
        <v>1151.72</v>
      </c>
    </row>
    <row r="221" spans="2:3">
      <c r="B221" s="142">
        <v>182</v>
      </c>
      <c r="C221" s="330">
        <v>1158.33</v>
      </c>
    </row>
    <row r="222" spans="2:3">
      <c r="B222" s="142">
        <v>183</v>
      </c>
      <c r="C222" s="330">
        <v>1164.94</v>
      </c>
    </row>
    <row r="223" spans="2:3">
      <c r="B223" s="142">
        <v>184</v>
      </c>
      <c r="C223" s="330">
        <v>1171.54</v>
      </c>
    </row>
    <row r="224" spans="2:3">
      <c r="B224" s="142">
        <v>185</v>
      </c>
      <c r="C224" s="330">
        <v>1178.2</v>
      </c>
    </row>
    <row r="225" spans="2:3">
      <c r="B225" s="142">
        <v>186</v>
      </c>
      <c r="C225" s="330">
        <v>1184.82</v>
      </c>
    </row>
    <row r="226" spans="2:3">
      <c r="B226" s="142">
        <v>187</v>
      </c>
      <c r="C226" s="330">
        <v>1191.43</v>
      </c>
    </row>
    <row r="227" spans="2:3">
      <c r="B227" s="142">
        <v>188</v>
      </c>
      <c r="C227" s="330">
        <v>1198.08</v>
      </c>
    </row>
    <row r="228" spans="2:3">
      <c r="B228" s="142">
        <v>189</v>
      </c>
      <c r="C228" s="330">
        <v>1204.68</v>
      </c>
    </row>
    <row r="229" spans="2:3">
      <c r="B229" s="142">
        <v>190</v>
      </c>
      <c r="C229" s="330">
        <v>1211.31</v>
      </c>
    </row>
    <row r="230" spans="2:3">
      <c r="B230" s="142">
        <v>191</v>
      </c>
      <c r="C230" s="330">
        <v>1217.94</v>
      </c>
    </row>
    <row r="231" spans="2:3">
      <c r="B231" s="142">
        <v>192</v>
      </c>
      <c r="C231" s="330">
        <v>1224.55</v>
      </c>
    </row>
    <row r="232" spans="2:3">
      <c r="B232" s="142">
        <v>193</v>
      </c>
      <c r="C232" s="330">
        <v>1231.18</v>
      </c>
    </row>
    <row r="233" spans="2:3">
      <c r="B233" s="142">
        <v>194</v>
      </c>
      <c r="C233" s="330">
        <v>1237.82</v>
      </c>
    </row>
    <row r="234" spans="2:3">
      <c r="B234" s="142">
        <v>195</v>
      </c>
      <c r="C234" s="330">
        <v>1244.43</v>
      </c>
    </row>
    <row r="235" spans="2:3">
      <c r="B235" s="142">
        <v>196</v>
      </c>
      <c r="C235" s="330">
        <v>1251.03</v>
      </c>
    </row>
    <row r="236" spans="2:3">
      <c r="B236" s="142">
        <v>197</v>
      </c>
      <c r="C236" s="330">
        <v>1257.6600000000001</v>
      </c>
    </row>
    <row r="237" spans="2:3">
      <c r="B237" s="142">
        <v>198</v>
      </c>
      <c r="C237" s="330">
        <v>1264.31</v>
      </c>
    </row>
    <row r="238" spans="2:3">
      <c r="B238" s="142">
        <v>199</v>
      </c>
      <c r="C238" s="330">
        <v>1270.8900000000001</v>
      </c>
    </row>
    <row r="239" spans="2:3">
      <c r="B239" s="142">
        <v>200</v>
      </c>
      <c r="C239" s="330">
        <v>1277.55</v>
      </c>
    </row>
    <row r="240" spans="2:3">
      <c r="B240" s="142">
        <v>201</v>
      </c>
      <c r="C240" s="330">
        <v>1284.1500000000001</v>
      </c>
    </row>
    <row r="241" spans="2:3">
      <c r="B241" s="142">
        <v>202</v>
      </c>
      <c r="C241" s="330">
        <v>1290.77</v>
      </c>
    </row>
    <row r="242" spans="2:3">
      <c r="B242" s="142">
        <v>203</v>
      </c>
      <c r="C242" s="330">
        <v>1297.3900000000001</v>
      </c>
    </row>
    <row r="243" spans="2:3">
      <c r="B243" s="142">
        <v>204</v>
      </c>
      <c r="C243" s="330">
        <v>1304.03</v>
      </c>
    </row>
    <row r="244" spans="2:3">
      <c r="B244" s="142">
        <v>205</v>
      </c>
      <c r="C244" s="330">
        <v>1310.6600000000001</v>
      </c>
    </row>
    <row r="245" spans="2:3">
      <c r="B245" s="142">
        <v>206</v>
      </c>
      <c r="C245" s="330">
        <v>1317.26</v>
      </c>
    </row>
    <row r="246" spans="2:3">
      <c r="B246" s="142">
        <v>207</v>
      </c>
      <c r="C246" s="330">
        <v>1323.91</v>
      </c>
    </row>
    <row r="247" spans="2:3">
      <c r="B247" s="142">
        <v>208</v>
      </c>
      <c r="C247" s="330">
        <v>1330.52</v>
      </c>
    </row>
    <row r="248" spans="2:3">
      <c r="B248" s="142">
        <v>209</v>
      </c>
      <c r="C248" s="330">
        <v>1337.14</v>
      </c>
    </row>
    <row r="249" spans="2:3">
      <c r="B249" s="142">
        <v>210</v>
      </c>
      <c r="C249" s="330">
        <v>1343.79</v>
      </c>
    </row>
    <row r="250" spans="2:3">
      <c r="B250" s="142">
        <v>211</v>
      </c>
      <c r="C250" s="330">
        <v>1350.4</v>
      </c>
    </row>
    <row r="251" spans="2:3">
      <c r="B251" s="142">
        <v>212</v>
      </c>
      <c r="C251" s="330">
        <v>1357.02</v>
      </c>
    </row>
    <row r="252" spans="2:3">
      <c r="B252" s="142">
        <v>213</v>
      </c>
      <c r="C252" s="330">
        <v>1363.65</v>
      </c>
    </row>
    <row r="253" spans="2:3">
      <c r="B253" s="142">
        <v>214</v>
      </c>
      <c r="C253" s="330">
        <v>1370.26</v>
      </c>
    </row>
    <row r="254" spans="2:3">
      <c r="B254" s="142">
        <v>215</v>
      </c>
      <c r="C254" s="330">
        <v>1376.89</v>
      </c>
    </row>
    <row r="255" spans="2:3">
      <c r="B255" s="142">
        <v>216</v>
      </c>
      <c r="C255" s="330">
        <v>1383.49</v>
      </c>
    </row>
    <row r="256" spans="2:3">
      <c r="B256" s="142">
        <v>217</v>
      </c>
      <c r="C256" s="330">
        <v>1390.12</v>
      </c>
    </row>
    <row r="257" spans="2:3">
      <c r="B257" s="142">
        <v>218</v>
      </c>
      <c r="C257" s="330">
        <v>1396.73</v>
      </c>
    </row>
    <row r="258" spans="2:3">
      <c r="B258" s="142">
        <v>219</v>
      </c>
      <c r="C258" s="330">
        <v>1403.37</v>
      </c>
    </row>
    <row r="259" spans="2:3">
      <c r="B259" s="142">
        <v>220</v>
      </c>
      <c r="C259" s="330">
        <v>1410.02</v>
      </c>
    </row>
    <row r="260" spans="2:3">
      <c r="B260" s="142">
        <v>221</v>
      </c>
      <c r="C260" s="330">
        <v>1416.6</v>
      </c>
    </row>
    <row r="261" spans="2:3">
      <c r="B261" s="142">
        <v>222</v>
      </c>
      <c r="C261" s="330">
        <v>1423.24</v>
      </c>
    </row>
    <row r="262" spans="2:3">
      <c r="B262" s="142">
        <v>223</v>
      </c>
      <c r="C262" s="330">
        <v>1429.86</v>
      </c>
    </row>
    <row r="263" spans="2:3">
      <c r="B263" s="142">
        <v>224</v>
      </c>
      <c r="C263" s="330">
        <v>1436.51</v>
      </c>
    </row>
    <row r="264" spans="2:3">
      <c r="B264" s="142">
        <v>225</v>
      </c>
      <c r="C264" s="330">
        <v>1443.09</v>
      </c>
    </row>
    <row r="265" spans="2:3">
      <c r="B265" s="142">
        <v>226</v>
      </c>
      <c r="C265" s="330">
        <v>1449.75</v>
      </c>
    </row>
    <row r="266" spans="2:3">
      <c r="B266" s="142">
        <v>227</v>
      </c>
      <c r="C266" s="330">
        <v>1456.37</v>
      </c>
    </row>
    <row r="267" spans="2:3">
      <c r="B267" s="142">
        <v>228</v>
      </c>
      <c r="C267" s="330">
        <v>1463</v>
      </c>
    </row>
    <row r="268" spans="2:3">
      <c r="B268" s="142">
        <v>229</v>
      </c>
      <c r="C268" s="330">
        <v>1469.63</v>
      </c>
    </row>
    <row r="269" spans="2:3">
      <c r="B269" s="142">
        <v>230</v>
      </c>
      <c r="C269" s="330">
        <v>1476.23</v>
      </c>
    </row>
    <row r="270" spans="2:3">
      <c r="B270" s="142">
        <v>231</v>
      </c>
      <c r="C270" s="330">
        <v>1482.85</v>
      </c>
    </row>
    <row r="271" spans="2:3">
      <c r="B271" s="142">
        <v>232</v>
      </c>
      <c r="C271" s="330">
        <v>1489.48</v>
      </c>
    </row>
    <row r="272" spans="2:3">
      <c r="B272" s="142">
        <v>233</v>
      </c>
      <c r="C272" s="330">
        <v>1496.1</v>
      </c>
    </row>
    <row r="273" spans="2:3">
      <c r="B273" s="142">
        <v>234</v>
      </c>
      <c r="C273" s="330">
        <v>1502.71</v>
      </c>
    </row>
    <row r="274" spans="2:3">
      <c r="B274" s="142">
        <v>235</v>
      </c>
      <c r="C274" s="330">
        <v>1509.36</v>
      </c>
    </row>
    <row r="275" spans="2:3">
      <c r="B275" s="142">
        <v>236</v>
      </c>
      <c r="C275" s="330">
        <v>1515.97</v>
      </c>
    </row>
    <row r="276" spans="2:3">
      <c r="B276" s="142">
        <v>237</v>
      </c>
      <c r="C276" s="330">
        <v>1522.59</v>
      </c>
    </row>
    <row r="277" spans="2:3">
      <c r="B277" s="142">
        <v>238</v>
      </c>
      <c r="C277" s="330">
        <v>1529.19</v>
      </c>
    </row>
    <row r="278" spans="2:3">
      <c r="B278" s="142">
        <v>239</v>
      </c>
      <c r="C278" s="330">
        <v>1535.85</v>
      </c>
    </row>
    <row r="279" spans="2:3">
      <c r="B279" s="142">
        <v>240</v>
      </c>
      <c r="C279" s="330">
        <v>1542.46</v>
      </c>
    </row>
    <row r="280" spans="2:3">
      <c r="B280" s="142">
        <v>241</v>
      </c>
      <c r="C280" s="330">
        <v>1549.09</v>
      </c>
    </row>
    <row r="281" spans="2:3">
      <c r="B281" s="142">
        <v>242</v>
      </c>
      <c r="C281" s="330">
        <v>1555.73</v>
      </c>
    </row>
    <row r="282" spans="2:3">
      <c r="B282" s="142">
        <v>243</v>
      </c>
      <c r="C282" s="330">
        <v>1562.33</v>
      </c>
    </row>
    <row r="283" spans="2:3">
      <c r="B283" s="142">
        <v>244</v>
      </c>
      <c r="C283" s="330">
        <v>1568.97</v>
      </c>
    </row>
    <row r="284" spans="2:3">
      <c r="B284" s="142">
        <v>245</v>
      </c>
      <c r="C284" s="330">
        <v>1575.59</v>
      </c>
    </row>
    <row r="285" spans="2:3">
      <c r="B285" s="142">
        <v>246</v>
      </c>
      <c r="C285" s="330">
        <v>1582.21</v>
      </c>
    </row>
    <row r="286" spans="2:3">
      <c r="B286" s="142">
        <v>247</v>
      </c>
      <c r="C286" s="330">
        <v>1588.79</v>
      </c>
    </row>
    <row r="287" spans="2:3">
      <c r="B287" s="142">
        <v>248</v>
      </c>
      <c r="C287" s="330">
        <v>1595.46</v>
      </c>
    </row>
    <row r="288" spans="2:3">
      <c r="B288" s="142">
        <v>249</v>
      </c>
      <c r="C288" s="330">
        <v>1602.06</v>
      </c>
    </row>
    <row r="289" spans="2:3">
      <c r="B289" s="143">
        <v>250</v>
      </c>
      <c r="C289" s="331">
        <v>1608.68</v>
      </c>
    </row>
    <row r="290" spans="2:3">
      <c r="C290" s="131"/>
    </row>
    <row r="291" spans="2:3" hidden="1">
      <c r="B291">
        <v>74</v>
      </c>
      <c r="C291" s="131">
        <v>439.39</v>
      </c>
    </row>
    <row r="292" spans="2:3" hidden="1">
      <c r="B292">
        <v>75</v>
      </c>
      <c r="C292" s="131">
        <v>445.31</v>
      </c>
    </row>
    <row r="293" spans="2:3" hidden="1">
      <c r="B293">
        <v>76</v>
      </c>
      <c r="C293" s="131">
        <v>451.26</v>
      </c>
    </row>
    <row r="294" spans="2:3" hidden="1">
      <c r="B294">
        <v>77</v>
      </c>
      <c r="C294" s="131">
        <v>457.18</v>
      </c>
    </row>
    <row r="295" spans="2:3" hidden="1">
      <c r="B295">
        <v>78</v>
      </c>
      <c r="C295" s="131">
        <v>463.15</v>
      </c>
    </row>
    <row r="296" spans="2:3" hidden="1">
      <c r="B296">
        <v>79</v>
      </c>
      <c r="C296" s="131">
        <v>469.06</v>
      </c>
    </row>
    <row r="297" spans="2:3" hidden="1">
      <c r="B297">
        <v>80</v>
      </c>
      <c r="C297" s="131">
        <v>475.01</v>
      </c>
    </row>
    <row r="298" spans="2:3" hidden="1">
      <c r="B298">
        <v>81</v>
      </c>
      <c r="C298" s="131">
        <v>481.5</v>
      </c>
    </row>
    <row r="299" spans="2:3" hidden="1">
      <c r="B299">
        <v>82</v>
      </c>
      <c r="C299" s="131">
        <v>488.01</v>
      </c>
    </row>
    <row r="300" spans="2:3" hidden="1">
      <c r="B300">
        <v>83</v>
      </c>
      <c r="C300" s="131">
        <v>494.55</v>
      </c>
    </row>
    <row r="301" spans="2:3" hidden="1">
      <c r="B301">
        <v>84</v>
      </c>
      <c r="C301" s="131">
        <v>501.05</v>
      </c>
    </row>
    <row r="302" spans="2:3" hidden="1">
      <c r="B302">
        <v>85</v>
      </c>
      <c r="C302" s="131">
        <v>507.6</v>
      </c>
    </row>
    <row r="303" spans="2:3" hidden="1">
      <c r="B303">
        <v>86</v>
      </c>
      <c r="C303" s="131">
        <v>514.1</v>
      </c>
    </row>
    <row r="304" spans="2:3" hidden="1">
      <c r="B304">
        <v>87</v>
      </c>
      <c r="C304" s="131">
        <v>520.6</v>
      </c>
    </row>
    <row r="305" spans="2:3" hidden="1">
      <c r="B305">
        <v>88</v>
      </c>
      <c r="C305" s="131">
        <v>527.13</v>
      </c>
    </row>
    <row r="306" spans="2:3" hidden="1">
      <c r="B306">
        <v>89</v>
      </c>
      <c r="C306" s="131">
        <v>533.63</v>
      </c>
    </row>
    <row r="307" spans="2:3" hidden="1">
      <c r="B307">
        <v>90</v>
      </c>
      <c r="C307" s="131">
        <v>540.17999999999995</v>
      </c>
    </row>
    <row r="308" spans="2:3" hidden="1">
      <c r="B308">
        <v>91</v>
      </c>
      <c r="C308" s="131">
        <v>546.67999999999995</v>
      </c>
    </row>
    <row r="309" spans="2:3" hidden="1">
      <c r="B309">
        <v>92</v>
      </c>
      <c r="C309" s="131">
        <v>553.16999999999996</v>
      </c>
    </row>
    <row r="310" spans="2:3" hidden="1">
      <c r="B310">
        <v>93</v>
      </c>
      <c r="C310" s="131">
        <v>559.71</v>
      </c>
    </row>
    <row r="311" spans="2:3" hidden="1">
      <c r="B311">
        <v>94</v>
      </c>
      <c r="C311" s="131">
        <v>566.21</v>
      </c>
    </row>
    <row r="312" spans="2:3" hidden="1">
      <c r="B312">
        <v>95</v>
      </c>
      <c r="C312" s="131">
        <v>572.73</v>
      </c>
    </row>
    <row r="313" spans="2:3" hidden="1">
      <c r="B313">
        <v>96</v>
      </c>
      <c r="C313" s="131">
        <v>579.26</v>
      </c>
    </row>
    <row r="314" spans="2:3" hidden="1">
      <c r="B314">
        <v>97</v>
      </c>
      <c r="C314" s="131">
        <v>585.79999999999995</v>
      </c>
    </row>
    <row r="315" spans="2:3" hidden="1">
      <c r="B315">
        <v>98</v>
      </c>
      <c r="C315" s="131">
        <v>592.30999999999995</v>
      </c>
    </row>
    <row r="316" spans="2:3" hidden="1">
      <c r="B316">
        <v>99</v>
      </c>
      <c r="C316" s="131">
        <v>598.84</v>
      </c>
    </row>
    <row r="317" spans="2:3" hidden="1">
      <c r="B317">
        <v>100</v>
      </c>
      <c r="C317" s="131">
        <v>605.34</v>
      </c>
    </row>
    <row r="318" spans="2:3" hidden="1">
      <c r="B318">
        <v>101</v>
      </c>
      <c r="C318" s="131">
        <v>611.85</v>
      </c>
    </row>
    <row r="319" spans="2:3" hidden="1">
      <c r="B319">
        <v>102</v>
      </c>
      <c r="C319" s="131">
        <v>618.34</v>
      </c>
    </row>
    <row r="320" spans="2:3" hidden="1">
      <c r="B320">
        <v>103</v>
      </c>
      <c r="C320" s="131">
        <v>624.87</v>
      </c>
    </row>
    <row r="321" spans="2:3" hidden="1">
      <c r="B321">
        <v>104</v>
      </c>
      <c r="C321" s="131">
        <v>631.4</v>
      </c>
    </row>
    <row r="322" spans="2:3" hidden="1">
      <c r="B322">
        <v>105</v>
      </c>
      <c r="C322" s="131">
        <v>637.89</v>
      </c>
    </row>
    <row r="323" spans="2:3" hidden="1">
      <c r="B323">
        <v>106</v>
      </c>
      <c r="C323" s="131">
        <v>644.44000000000005</v>
      </c>
    </row>
    <row r="324" spans="2:3" hidden="1">
      <c r="B324">
        <v>107</v>
      </c>
      <c r="C324" s="131">
        <v>650.94000000000005</v>
      </c>
    </row>
    <row r="325" spans="2:3" hidden="1">
      <c r="B325">
        <v>108</v>
      </c>
      <c r="C325" s="131">
        <v>657.45</v>
      </c>
    </row>
    <row r="326" spans="2:3" hidden="1">
      <c r="B326">
        <v>109</v>
      </c>
      <c r="C326" s="131">
        <v>663.99</v>
      </c>
    </row>
    <row r="327" spans="2:3" hidden="1">
      <c r="B327">
        <v>110</v>
      </c>
      <c r="C327" s="131">
        <v>670.51</v>
      </c>
    </row>
    <row r="328" spans="2:3" hidden="1">
      <c r="B328">
        <v>111</v>
      </c>
      <c r="C328" s="131">
        <v>677.04</v>
      </c>
    </row>
    <row r="329" spans="2:3" hidden="1">
      <c r="B329">
        <v>112</v>
      </c>
      <c r="C329" s="131">
        <v>683.54</v>
      </c>
    </row>
    <row r="330" spans="2:3" hidden="1">
      <c r="B330">
        <v>113</v>
      </c>
      <c r="C330" s="131">
        <v>690.05</v>
      </c>
    </row>
    <row r="331" spans="2:3" hidden="1">
      <c r="B331">
        <v>114</v>
      </c>
      <c r="C331" s="131">
        <v>696.59</v>
      </c>
    </row>
    <row r="332" spans="2:3" hidden="1">
      <c r="B332">
        <v>115</v>
      </c>
      <c r="C332" s="131">
        <v>703.1</v>
      </c>
    </row>
    <row r="333" spans="2:3" hidden="1">
      <c r="B333">
        <v>116</v>
      </c>
      <c r="C333" s="131">
        <v>709.6</v>
      </c>
    </row>
    <row r="334" spans="2:3" hidden="1">
      <c r="B334">
        <v>117</v>
      </c>
      <c r="C334" s="131">
        <v>716.12</v>
      </c>
    </row>
    <row r="335" spans="2:3" hidden="1">
      <c r="B335">
        <v>118</v>
      </c>
      <c r="C335" s="131">
        <v>722.62</v>
      </c>
    </row>
    <row r="336" spans="2:3" hidden="1">
      <c r="B336">
        <v>119</v>
      </c>
      <c r="C336" s="131">
        <v>729.14</v>
      </c>
    </row>
    <row r="337" spans="2:3" hidden="1">
      <c r="B337">
        <v>120</v>
      </c>
      <c r="C337" s="131">
        <v>735.66</v>
      </c>
    </row>
    <row r="338" spans="2:3" hidden="1">
      <c r="B338">
        <v>121</v>
      </c>
      <c r="C338" s="131">
        <v>742.21</v>
      </c>
    </row>
    <row r="339" spans="2:3" hidden="1">
      <c r="B339">
        <v>122</v>
      </c>
      <c r="C339" s="131">
        <v>748.72</v>
      </c>
    </row>
    <row r="340" spans="2:3" hidden="1">
      <c r="B340">
        <v>123</v>
      </c>
      <c r="C340" s="131">
        <v>755.22</v>
      </c>
    </row>
    <row r="341" spans="2:3" hidden="1">
      <c r="B341">
        <v>124</v>
      </c>
      <c r="C341" s="131">
        <v>761.76</v>
      </c>
    </row>
    <row r="342" spans="2:3" hidden="1">
      <c r="B342">
        <v>125</v>
      </c>
      <c r="C342" s="131">
        <v>768.27</v>
      </c>
    </row>
    <row r="343" spans="2:3" hidden="1">
      <c r="B343">
        <v>126</v>
      </c>
      <c r="C343" s="131">
        <v>774.77</v>
      </c>
    </row>
    <row r="344" spans="2:3" hidden="1">
      <c r="B344">
        <v>127</v>
      </c>
      <c r="C344" s="131">
        <v>781.29</v>
      </c>
    </row>
    <row r="345" spans="2:3" hidden="1">
      <c r="B345">
        <v>128</v>
      </c>
      <c r="C345" s="131">
        <v>787.87</v>
      </c>
    </row>
    <row r="346" spans="2:3" hidden="1">
      <c r="B346">
        <v>129</v>
      </c>
      <c r="C346" s="131">
        <v>794.31</v>
      </c>
    </row>
    <row r="347" spans="2:3" hidden="1">
      <c r="B347">
        <v>130</v>
      </c>
      <c r="C347" s="131">
        <v>800.85</v>
      </c>
    </row>
    <row r="348" spans="2:3" hidden="1">
      <c r="B348">
        <v>131</v>
      </c>
      <c r="C348" s="131">
        <v>807.37</v>
      </c>
    </row>
    <row r="349" spans="2:3" hidden="1">
      <c r="B349">
        <v>132</v>
      </c>
      <c r="C349" s="131">
        <v>813.87</v>
      </c>
    </row>
    <row r="350" spans="2:3" hidden="1">
      <c r="B350">
        <v>133</v>
      </c>
      <c r="C350" s="131">
        <v>820.42</v>
      </c>
    </row>
    <row r="351" spans="2:3" hidden="1">
      <c r="B351">
        <v>134</v>
      </c>
      <c r="C351" s="131">
        <v>826.9</v>
      </c>
    </row>
    <row r="352" spans="2:3" hidden="1">
      <c r="B352">
        <v>135</v>
      </c>
      <c r="C352" s="131">
        <v>833.46</v>
      </c>
    </row>
    <row r="353" spans="2:3" hidden="1">
      <c r="B353">
        <v>136</v>
      </c>
      <c r="C353" s="131">
        <v>839.93</v>
      </c>
    </row>
    <row r="354" spans="2:3" hidden="1">
      <c r="B354">
        <v>137</v>
      </c>
      <c r="C354" s="131">
        <v>846.47</v>
      </c>
    </row>
    <row r="355" spans="2:3" hidden="1">
      <c r="B355">
        <v>138</v>
      </c>
      <c r="C355" s="131">
        <v>853</v>
      </c>
    </row>
    <row r="356" spans="2:3" hidden="1">
      <c r="B356">
        <v>139</v>
      </c>
      <c r="C356" s="131">
        <v>859.49</v>
      </c>
    </row>
    <row r="357" spans="2:3" hidden="1">
      <c r="B357">
        <v>140</v>
      </c>
      <c r="C357" s="131">
        <v>866.01</v>
      </c>
    </row>
    <row r="358" spans="2:3" hidden="1">
      <c r="B358">
        <v>141</v>
      </c>
      <c r="C358" s="131">
        <v>872.55</v>
      </c>
    </row>
    <row r="359" spans="2:3" hidden="1">
      <c r="B359">
        <v>142</v>
      </c>
      <c r="C359" s="131">
        <v>879.03</v>
      </c>
    </row>
    <row r="360" spans="2:3" hidden="1">
      <c r="B360">
        <v>143</v>
      </c>
      <c r="C360" s="131">
        <v>885.55</v>
      </c>
    </row>
    <row r="361" spans="2:3" hidden="1">
      <c r="B361">
        <v>144</v>
      </c>
      <c r="C361" s="131">
        <v>892.08</v>
      </c>
    </row>
    <row r="362" spans="2:3" hidden="1">
      <c r="B362">
        <v>145</v>
      </c>
      <c r="C362" s="131">
        <v>898.62</v>
      </c>
    </row>
    <row r="363" spans="2:3" hidden="1">
      <c r="B363">
        <v>146</v>
      </c>
      <c r="C363" s="131">
        <v>905.11</v>
      </c>
    </row>
    <row r="364" spans="2:3" hidden="1">
      <c r="B364">
        <v>147</v>
      </c>
      <c r="C364" s="131">
        <v>911.65</v>
      </c>
    </row>
    <row r="365" spans="2:3" hidden="1">
      <c r="B365">
        <v>148</v>
      </c>
      <c r="C365" s="131">
        <v>918.16</v>
      </c>
    </row>
    <row r="366" spans="2:3" hidden="1">
      <c r="B366">
        <v>149</v>
      </c>
      <c r="C366" s="131">
        <v>924.68</v>
      </c>
    </row>
    <row r="367" spans="2:3" hidden="1">
      <c r="B367">
        <v>150</v>
      </c>
      <c r="C367" s="131">
        <v>931.18</v>
      </c>
    </row>
    <row r="368" spans="2:3" hidden="1">
      <c r="B368">
        <v>151</v>
      </c>
      <c r="C368" s="131">
        <v>937.7</v>
      </c>
    </row>
    <row r="369" spans="2:3" hidden="1">
      <c r="B369">
        <v>152</v>
      </c>
      <c r="C369" s="131">
        <v>944.21</v>
      </c>
    </row>
    <row r="370" spans="2:3" hidden="1">
      <c r="B370">
        <v>153</v>
      </c>
      <c r="C370" s="131">
        <v>950.73</v>
      </c>
    </row>
    <row r="371" spans="2:3" hidden="1">
      <c r="B371">
        <v>154</v>
      </c>
      <c r="C371" s="131">
        <v>957.24</v>
      </c>
    </row>
    <row r="372" spans="2:3" hidden="1">
      <c r="B372">
        <v>155</v>
      </c>
      <c r="C372" s="131">
        <v>963.76</v>
      </c>
    </row>
    <row r="373" spans="2:3" hidden="1">
      <c r="B373">
        <v>156</v>
      </c>
      <c r="C373" s="131">
        <v>970.25</v>
      </c>
    </row>
    <row r="374" spans="2:3" hidden="1">
      <c r="B374">
        <v>157</v>
      </c>
      <c r="C374" s="131">
        <v>976.83</v>
      </c>
    </row>
    <row r="375" spans="2:3" hidden="1">
      <c r="B375">
        <v>158</v>
      </c>
      <c r="C375" s="131">
        <v>983.3</v>
      </c>
    </row>
    <row r="376" spans="2:3" hidden="1">
      <c r="B376">
        <v>159</v>
      </c>
      <c r="C376" s="131">
        <v>989.87</v>
      </c>
    </row>
    <row r="377" spans="2:3" hidden="1">
      <c r="B377">
        <v>160</v>
      </c>
      <c r="C377" s="131">
        <v>996.37</v>
      </c>
    </row>
    <row r="378" spans="2:3" hidden="1">
      <c r="B378">
        <v>161</v>
      </c>
      <c r="C378" s="131">
        <v>1002.87</v>
      </c>
    </row>
    <row r="379" spans="2:3" hidden="1">
      <c r="B379">
        <v>162</v>
      </c>
      <c r="C379" s="131">
        <v>1009.42</v>
      </c>
    </row>
    <row r="380" spans="2:3" hidden="1">
      <c r="B380">
        <v>163</v>
      </c>
      <c r="C380" s="131">
        <v>1015.89</v>
      </c>
    </row>
    <row r="381" spans="2:3" hidden="1">
      <c r="B381">
        <v>164</v>
      </c>
      <c r="C381" s="131">
        <v>1022.4</v>
      </c>
    </row>
    <row r="382" spans="2:3" hidden="1">
      <c r="B382">
        <v>165</v>
      </c>
      <c r="C382" s="131">
        <v>1028.94</v>
      </c>
    </row>
    <row r="383" spans="2:3" hidden="1">
      <c r="B383">
        <v>166</v>
      </c>
      <c r="C383" s="131">
        <v>1035.47</v>
      </c>
    </row>
    <row r="384" spans="2:3" hidden="1">
      <c r="B384">
        <v>167</v>
      </c>
      <c r="C384" s="131">
        <v>1041.97</v>
      </c>
    </row>
    <row r="385" spans="2:3" hidden="1">
      <c r="B385">
        <v>168</v>
      </c>
      <c r="C385" s="131">
        <v>1048.47</v>
      </c>
    </row>
    <row r="386" spans="2:3" hidden="1">
      <c r="B386">
        <v>169</v>
      </c>
      <c r="C386" s="131">
        <v>1055.05</v>
      </c>
    </row>
    <row r="387" spans="2:3" hidden="1">
      <c r="B387">
        <v>170</v>
      </c>
      <c r="C387" s="131">
        <v>1061.54</v>
      </c>
    </row>
    <row r="388" spans="2:3" hidden="1">
      <c r="B388">
        <v>171</v>
      </c>
      <c r="C388" s="131">
        <v>1068.04</v>
      </c>
    </row>
    <row r="389" spans="2:3" hidden="1">
      <c r="B389">
        <v>172</v>
      </c>
      <c r="C389" s="131">
        <v>1074.55</v>
      </c>
    </row>
    <row r="390" spans="2:3" hidden="1">
      <c r="B390">
        <v>173</v>
      </c>
      <c r="C390" s="131">
        <v>1081.1099999999999</v>
      </c>
    </row>
    <row r="391" spans="2:3" hidden="1">
      <c r="B391">
        <v>174</v>
      </c>
      <c r="C391" s="131">
        <v>1087.5999999999999</v>
      </c>
    </row>
    <row r="392" spans="2:3" hidden="1">
      <c r="B392">
        <v>175</v>
      </c>
      <c r="C392" s="131">
        <v>1094.1199999999999</v>
      </c>
    </row>
    <row r="393" spans="2:3" hidden="1">
      <c r="B393">
        <v>176</v>
      </c>
      <c r="C393" s="131">
        <v>1100.6300000000001</v>
      </c>
    </row>
    <row r="394" spans="2:3" hidden="1">
      <c r="B394">
        <v>177</v>
      </c>
      <c r="C394" s="131">
        <v>1107.1500000000001</v>
      </c>
    </row>
    <row r="395" spans="2:3" hidden="1">
      <c r="B395">
        <v>178</v>
      </c>
      <c r="C395" s="131">
        <v>1113.67</v>
      </c>
    </row>
    <row r="396" spans="2:3" hidden="1">
      <c r="B396">
        <v>179</v>
      </c>
      <c r="C396" s="131">
        <v>1120.18</v>
      </c>
    </row>
    <row r="397" spans="2:3" hidden="1">
      <c r="B397">
        <v>180</v>
      </c>
      <c r="C397" s="131">
        <v>1126.67</v>
      </c>
    </row>
    <row r="398" spans="2:3" hidden="1">
      <c r="B398">
        <v>181</v>
      </c>
      <c r="C398" s="131">
        <v>1133.24</v>
      </c>
    </row>
    <row r="399" spans="2:3" hidden="1">
      <c r="B399">
        <v>182</v>
      </c>
      <c r="C399" s="131">
        <v>1139.75</v>
      </c>
    </row>
    <row r="400" spans="2:3" hidden="1">
      <c r="B400">
        <v>183</v>
      </c>
      <c r="C400" s="131">
        <v>1146.25</v>
      </c>
    </row>
    <row r="401" spans="2:3" hidden="1">
      <c r="B401">
        <v>184</v>
      </c>
      <c r="C401" s="131">
        <v>1152.74</v>
      </c>
    </row>
    <row r="402" spans="2:3" hidden="1">
      <c r="B402">
        <v>185</v>
      </c>
      <c r="C402" s="131">
        <v>1159.29</v>
      </c>
    </row>
    <row r="403" spans="2:3" hidden="1">
      <c r="B403">
        <v>186</v>
      </c>
      <c r="C403" s="131">
        <v>1165.81</v>
      </c>
    </row>
    <row r="404" spans="2:3" hidden="1">
      <c r="B404">
        <v>187</v>
      </c>
      <c r="C404" s="131">
        <v>1172.31</v>
      </c>
    </row>
    <row r="405" spans="2:3" hidden="1">
      <c r="B405">
        <v>188</v>
      </c>
      <c r="C405" s="131">
        <v>1178.8599999999999</v>
      </c>
    </row>
    <row r="406" spans="2:3" hidden="1">
      <c r="B406">
        <v>189</v>
      </c>
      <c r="C406" s="131">
        <v>1185.3599999999999</v>
      </c>
    </row>
    <row r="407" spans="2:3" hidden="1">
      <c r="B407">
        <v>190</v>
      </c>
      <c r="C407" s="131">
        <v>1191.8800000000001</v>
      </c>
    </row>
    <row r="408" spans="2:3" hidden="1">
      <c r="B408">
        <v>191</v>
      </c>
      <c r="C408" s="131">
        <v>1198.4100000000001</v>
      </c>
    </row>
    <row r="409" spans="2:3" hidden="1">
      <c r="B409">
        <v>192</v>
      </c>
      <c r="C409" s="131">
        <v>1204.9000000000001</v>
      </c>
    </row>
    <row r="410" spans="2:3" hidden="1">
      <c r="B410">
        <v>193</v>
      </c>
      <c r="C410" s="131">
        <v>1211.43</v>
      </c>
    </row>
    <row r="411" spans="2:3" hidden="1">
      <c r="B411">
        <v>194</v>
      </c>
      <c r="C411" s="131">
        <v>1217.96</v>
      </c>
    </row>
    <row r="412" spans="2:3" hidden="1">
      <c r="B412">
        <v>195</v>
      </c>
      <c r="C412" s="131">
        <v>1224.47</v>
      </c>
    </row>
    <row r="413" spans="2:3" hidden="1">
      <c r="B413">
        <v>196</v>
      </c>
      <c r="C413" s="131">
        <v>1230.96</v>
      </c>
    </row>
    <row r="414" spans="2:3" hidden="1">
      <c r="B414">
        <v>197</v>
      </c>
      <c r="C414" s="131">
        <v>1237.49</v>
      </c>
    </row>
    <row r="415" spans="2:3" hidden="1">
      <c r="B415">
        <v>198</v>
      </c>
      <c r="C415" s="131">
        <v>1244.03</v>
      </c>
    </row>
    <row r="416" spans="2:3" hidden="1">
      <c r="B416">
        <v>199</v>
      </c>
      <c r="C416" s="131">
        <v>1250.5</v>
      </c>
    </row>
    <row r="417" spans="2:3" hidden="1">
      <c r="B417">
        <v>200</v>
      </c>
      <c r="C417" s="131">
        <v>1257.05</v>
      </c>
    </row>
    <row r="418" spans="2:3" hidden="1">
      <c r="B418">
        <v>201</v>
      </c>
      <c r="C418" s="131">
        <v>1263.55</v>
      </c>
    </row>
    <row r="419" spans="2:3" hidden="1">
      <c r="B419">
        <v>202</v>
      </c>
      <c r="C419" s="131">
        <v>1270.07</v>
      </c>
    </row>
    <row r="420" spans="2:3" hidden="1">
      <c r="B420">
        <v>203</v>
      </c>
      <c r="C420" s="131">
        <v>1276.58</v>
      </c>
    </row>
    <row r="421" spans="2:3" hidden="1">
      <c r="B421">
        <v>204</v>
      </c>
      <c r="C421" s="131">
        <v>1283.1199999999999</v>
      </c>
    </row>
    <row r="422" spans="2:3" hidden="1">
      <c r="B422">
        <v>205</v>
      </c>
      <c r="C422" s="131">
        <v>1289.6400000000001</v>
      </c>
    </row>
    <row r="423" spans="2:3" hidden="1">
      <c r="B423">
        <v>206</v>
      </c>
      <c r="C423" s="131">
        <v>1296.1300000000001</v>
      </c>
    </row>
    <row r="424" spans="2:3" hidden="1">
      <c r="B424">
        <v>207</v>
      </c>
      <c r="C424" s="131">
        <v>1302.67</v>
      </c>
    </row>
    <row r="425" spans="2:3" hidden="1">
      <c r="B425">
        <v>208</v>
      </c>
      <c r="C425" s="131">
        <v>1309.18</v>
      </c>
    </row>
    <row r="426" spans="2:3" hidden="1">
      <c r="B426">
        <v>209</v>
      </c>
      <c r="C426" s="131">
        <v>1315.69</v>
      </c>
    </row>
    <row r="427" spans="2:3" hidden="1">
      <c r="B427">
        <v>210</v>
      </c>
      <c r="C427" s="131">
        <v>1322.24</v>
      </c>
    </row>
    <row r="428" spans="2:3" hidden="1">
      <c r="B428">
        <v>211</v>
      </c>
      <c r="C428" s="131">
        <v>1328.74</v>
      </c>
    </row>
    <row r="429" spans="2:3" hidden="1">
      <c r="B429">
        <v>212</v>
      </c>
      <c r="C429" s="131">
        <v>1335.26</v>
      </c>
    </row>
    <row r="430" spans="2:3" hidden="1">
      <c r="B430">
        <v>213</v>
      </c>
      <c r="C430" s="131">
        <v>1341.77</v>
      </c>
    </row>
    <row r="431" spans="2:3" hidden="1">
      <c r="B431">
        <v>214</v>
      </c>
      <c r="C431" s="131">
        <v>1348.28</v>
      </c>
    </row>
    <row r="432" spans="2:3" hidden="1">
      <c r="B432">
        <v>215</v>
      </c>
      <c r="C432" s="131">
        <v>1354.8</v>
      </c>
    </row>
    <row r="433" spans="2:3" hidden="1">
      <c r="B433">
        <v>216</v>
      </c>
      <c r="C433" s="131">
        <v>1361.3</v>
      </c>
    </row>
    <row r="434" spans="2:3" hidden="1">
      <c r="B434">
        <v>217</v>
      </c>
      <c r="C434" s="131">
        <v>1367.83</v>
      </c>
    </row>
    <row r="435" spans="2:3" hidden="1">
      <c r="B435">
        <v>218</v>
      </c>
      <c r="C435" s="131">
        <v>1374.33</v>
      </c>
    </row>
    <row r="436" spans="2:3" hidden="1">
      <c r="B436">
        <v>219</v>
      </c>
      <c r="C436" s="131">
        <v>1380.87</v>
      </c>
    </row>
    <row r="437" spans="2:3" hidden="1">
      <c r="B437">
        <v>220</v>
      </c>
      <c r="C437" s="131">
        <v>1387.41</v>
      </c>
    </row>
    <row r="438" spans="2:3" hidden="1">
      <c r="B438">
        <v>221</v>
      </c>
      <c r="C438" s="131">
        <v>1393.88</v>
      </c>
    </row>
    <row r="439" spans="2:3" hidden="1">
      <c r="B439">
        <v>222</v>
      </c>
      <c r="C439" s="131">
        <v>1400.41</v>
      </c>
    </row>
    <row r="440" spans="2:3" hidden="1">
      <c r="B440">
        <v>223</v>
      </c>
      <c r="C440" s="131">
        <v>1406.93</v>
      </c>
    </row>
    <row r="441" spans="2:3" hidden="1">
      <c r="B441">
        <v>224</v>
      </c>
      <c r="C441" s="131">
        <v>1413.46</v>
      </c>
    </row>
    <row r="442" spans="2:3" hidden="1">
      <c r="B442">
        <v>225</v>
      </c>
      <c r="C442" s="131">
        <v>1419.95</v>
      </c>
    </row>
    <row r="443" spans="2:3" hidden="1">
      <c r="B443">
        <v>226</v>
      </c>
      <c r="C443" s="131">
        <v>1426.49</v>
      </c>
    </row>
    <row r="444" spans="2:3" hidden="1">
      <c r="B444">
        <v>227</v>
      </c>
      <c r="C444" s="131">
        <v>1433</v>
      </c>
    </row>
    <row r="445" spans="2:3" hidden="1">
      <c r="B445">
        <v>228</v>
      </c>
      <c r="C445" s="131">
        <v>1439.52</v>
      </c>
    </row>
    <row r="446" spans="2:3" hidden="1">
      <c r="B446">
        <v>229</v>
      </c>
      <c r="C446" s="131">
        <v>1446.05</v>
      </c>
    </row>
    <row r="447" spans="2:3" hidden="1">
      <c r="B447">
        <v>230</v>
      </c>
      <c r="C447" s="131">
        <v>1452.55</v>
      </c>
    </row>
    <row r="448" spans="2:3" hidden="1">
      <c r="B448">
        <v>231</v>
      </c>
      <c r="C448" s="131">
        <v>1459.06</v>
      </c>
    </row>
    <row r="449" spans="2:3" hidden="1">
      <c r="B449">
        <v>232</v>
      </c>
      <c r="C449" s="131">
        <v>1465.59</v>
      </c>
    </row>
    <row r="450" spans="2:3" hidden="1">
      <c r="B450">
        <v>233</v>
      </c>
      <c r="C450" s="131">
        <v>1472.1</v>
      </c>
    </row>
    <row r="451" spans="2:3" hidden="1">
      <c r="B451">
        <v>234</v>
      </c>
      <c r="C451" s="131">
        <v>1478.6</v>
      </c>
    </row>
    <row r="452" spans="2:3" hidden="1">
      <c r="B452">
        <v>235</v>
      </c>
      <c r="C452" s="131">
        <v>1485.14</v>
      </c>
    </row>
    <row r="453" spans="2:3" hidden="1">
      <c r="B453">
        <v>236</v>
      </c>
      <c r="C453" s="131">
        <v>1491.65</v>
      </c>
    </row>
    <row r="454" spans="2:3" hidden="1">
      <c r="B454">
        <v>237</v>
      </c>
      <c r="C454" s="131">
        <v>1498.16</v>
      </c>
    </row>
    <row r="455" spans="2:3" hidden="1">
      <c r="B455">
        <v>238</v>
      </c>
      <c r="C455" s="131">
        <v>1504.66</v>
      </c>
    </row>
    <row r="456" spans="2:3" hidden="1">
      <c r="B456">
        <v>239</v>
      </c>
      <c r="C456" s="131">
        <v>1511.21</v>
      </c>
    </row>
    <row r="457" spans="2:3" hidden="1">
      <c r="B457">
        <v>240</v>
      </c>
      <c r="C457" s="131">
        <v>1517.72</v>
      </c>
    </row>
    <row r="458" spans="2:3" hidden="1">
      <c r="B458">
        <v>241</v>
      </c>
      <c r="C458" s="131">
        <v>1524.23</v>
      </c>
    </row>
    <row r="459" spans="2:3" hidden="1">
      <c r="B459">
        <v>242</v>
      </c>
      <c r="C459" s="131">
        <v>1530.77</v>
      </c>
    </row>
    <row r="460" spans="2:3" hidden="1">
      <c r="B460">
        <v>243</v>
      </c>
      <c r="C460" s="131">
        <v>1537.27</v>
      </c>
    </row>
    <row r="461" spans="2:3" hidden="1">
      <c r="B461">
        <v>244</v>
      </c>
      <c r="C461" s="131">
        <v>1543.8</v>
      </c>
    </row>
    <row r="462" spans="2:3" hidden="1">
      <c r="B462">
        <v>245</v>
      </c>
      <c r="C462" s="131">
        <v>1550.32</v>
      </c>
    </row>
    <row r="463" spans="2:3" hidden="1">
      <c r="B463">
        <v>246</v>
      </c>
      <c r="C463" s="131">
        <v>1556.83</v>
      </c>
    </row>
    <row r="464" spans="2:3" hidden="1">
      <c r="B464">
        <v>247</v>
      </c>
      <c r="C464" s="131">
        <v>1563.3</v>
      </c>
    </row>
    <row r="465" spans="2:3" hidden="1">
      <c r="B465">
        <v>248</v>
      </c>
      <c r="C465" s="131">
        <v>1569.86</v>
      </c>
    </row>
    <row r="466" spans="2:3" hidden="1">
      <c r="B466">
        <v>249</v>
      </c>
      <c r="C466" s="131">
        <v>1576.36</v>
      </c>
    </row>
    <row r="467" spans="2:3" hidden="1">
      <c r="B467">
        <v>250</v>
      </c>
      <c r="C467" s="131">
        <v>1582.87</v>
      </c>
    </row>
  </sheetData>
  <sheetProtection sheet="1" objects="1" scenarios="1"/>
  <phoneticPr fontId="25" type="noConversion"/>
  <dataValidations count="2">
    <dataValidation allowBlank="1" showInputMessage="1" showErrorMessage="1" prompt="In deze berekening houden we rekening met een mutatiegraad van 5,00%. Deze is een benadering van de gemiddelde mutatiegraad en is het standaard rekenvoorbeeld van het handboek marktwaardering 2023" sqref="D9" xr:uid="{D3D7E5AA-F841-4FA3-9080-902DFB8F7707}"/>
    <dataValidation allowBlank="1" showInputMessage="1" showErrorMessage="1" prompt="Huurprijs ontwikkeling tot maximaal €1157,95" sqref="B20" xr:uid="{B5ACCE5B-AE22-4CF0-B6BE-F295DB31F6FA}"/>
  </dataValidations>
  <hyperlinks>
    <hyperlink ref="E38" r:id="rId1" xr:uid="{89979E3B-0C45-4FA3-92E3-F992063FFA42}"/>
  </hyperlinks>
  <pageMargins left="0.7" right="0.7" top="0.75" bottom="0.75" header="0.3" footer="0.3"/>
  <pageSetup paperSize="9" scale="8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B353-CD01-4E86-97F2-0D2015561E58}">
  <sheetPr codeName="Sheet4">
    <tabColor theme="0" tint="-4.9989318521683403E-2"/>
  </sheetPr>
  <dimension ref="A1:D22"/>
  <sheetViews>
    <sheetView showGridLines="0" workbookViewId="0">
      <pane ySplit="3" topLeftCell="A4" activePane="bottomLeft" state="frozen"/>
      <selection activeCell="A4" sqref="A4"/>
      <selection pane="bottomLeft" activeCell="A4" sqref="A4"/>
    </sheetView>
  </sheetViews>
  <sheetFormatPr defaultColWidth="0" defaultRowHeight="14.5" zeroHeight="1"/>
  <cols>
    <col min="1" max="1" width="2.81640625" customWidth="1"/>
    <col min="2" max="3" width="21.453125" customWidth="1"/>
    <col min="4" max="4" width="2.7265625" customWidth="1"/>
    <col min="5" max="16384" width="9.1796875" hidden="1"/>
  </cols>
  <sheetData>
    <row r="1" spans="1:4">
      <c r="A1" s="89"/>
      <c r="B1" s="89"/>
      <c r="C1" s="89"/>
      <c r="D1" s="89"/>
    </row>
    <row r="2" spans="1:4" ht="33" customHeight="1">
      <c r="A2" s="89"/>
      <c r="B2" s="89"/>
      <c r="C2" s="89"/>
      <c r="D2" s="89"/>
    </row>
    <row r="3" spans="1:4">
      <c r="A3" s="89"/>
      <c r="B3" s="89"/>
      <c r="C3" s="89"/>
      <c r="D3" s="89"/>
    </row>
    <row r="4" spans="1:4"/>
    <row r="5" spans="1:4">
      <c r="B5" s="76" t="s">
        <v>194</v>
      </c>
      <c r="C5" s="76"/>
    </row>
    <row r="6" spans="1:4"/>
    <row r="7" spans="1:4">
      <c r="B7" s="8" t="s">
        <v>195</v>
      </c>
      <c r="C7" s="16" t="s">
        <v>11</v>
      </c>
    </row>
    <row r="8" spans="1:4">
      <c r="B8" s="39" t="s">
        <v>196</v>
      </c>
      <c r="C8" s="24"/>
    </row>
    <row r="9" spans="1:4">
      <c r="B9" s="33" t="s">
        <v>100</v>
      </c>
      <c r="C9" s="33"/>
    </row>
    <row r="10" spans="1:4"/>
    <row r="11" spans="1:4">
      <c r="B11" s="8" t="s">
        <v>34</v>
      </c>
      <c r="C11" s="16" t="s">
        <v>11</v>
      </c>
    </row>
    <row r="12" spans="1:4">
      <c r="B12" s="66" t="s">
        <v>60</v>
      </c>
      <c r="C12" s="24"/>
    </row>
    <row r="13" spans="1:4">
      <c r="B13" s="66" t="s">
        <v>197</v>
      </c>
      <c r="C13" s="39"/>
    </row>
    <row r="14" spans="1:4">
      <c r="B14" s="66" t="s">
        <v>198</v>
      </c>
      <c r="C14" s="68"/>
    </row>
    <row r="15" spans="1:4">
      <c r="B15" s="66" t="s">
        <v>199</v>
      </c>
      <c r="C15" s="39"/>
    </row>
    <row r="16" spans="1:4">
      <c r="B16" s="66" t="s">
        <v>200</v>
      </c>
      <c r="C16" s="39"/>
    </row>
    <row r="17" spans="2:3">
      <c r="B17" s="67" t="s">
        <v>201</v>
      </c>
      <c r="C17" s="33"/>
    </row>
    <row r="18" spans="2:3"/>
    <row r="19" spans="2:3">
      <c r="B19" s="8" t="s">
        <v>62</v>
      </c>
      <c r="C19" s="16" t="s">
        <v>11</v>
      </c>
    </row>
    <row r="20" spans="2:3">
      <c r="B20" s="39" t="s">
        <v>63</v>
      </c>
      <c r="C20" s="23"/>
    </row>
    <row r="21" spans="2:3">
      <c r="B21" s="33" t="s">
        <v>202</v>
      </c>
      <c r="C21" s="33"/>
    </row>
    <row r="22" spans="2:3"/>
  </sheetData>
  <sheetProtection sheet="1" objects="1" scenarios="1"/>
  <conditionalFormatting sqref="B12:B15">
    <cfRule type="iconSet" priority="1">
      <iconSet iconSet="3TrafficLights2">
        <cfvo type="percent" val="0"/>
        <cfvo type="percent" val="33"/>
        <cfvo type="percent" val="67"/>
      </iconSet>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8E56-E56A-48E4-A7FD-DCD47193C82F}">
  <sheetPr codeName="Sheet5"/>
  <dimension ref="B3:C7"/>
  <sheetViews>
    <sheetView showGridLines="0" workbookViewId="0">
      <selection activeCell="E14" sqref="E14"/>
    </sheetView>
  </sheetViews>
  <sheetFormatPr defaultRowHeight="14.5"/>
  <cols>
    <col min="2" max="2" width="21.54296875" customWidth="1"/>
    <col min="3" max="3" width="18" customWidth="1"/>
  </cols>
  <sheetData>
    <row r="3" spans="2:3">
      <c r="B3" s="5" t="s">
        <v>203</v>
      </c>
    </row>
    <row r="4" spans="2:3">
      <c r="B4" s="6" t="s">
        <v>204</v>
      </c>
    </row>
    <row r="5" spans="2:3">
      <c r="B5" s="4" t="s">
        <v>205</v>
      </c>
      <c r="C5" s="7" t="s">
        <v>206</v>
      </c>
    </row>
    <row r="7" spans="2:3">
      <c r="B7" s="2" t="s">
        <v>206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491425DF78F44192A970FAD5E8920B" ma:contentTypeVersion="8" ma:contentTypeDescription="Een nieuw document maken." ma:contentTypeScope="" ma:versionID="b0bfdb083b0a25b1b88aa926a06517b4">
  <xsd:schema xmlns:xsd="http://www.w3.org/2001/XMLSchema" xmlns:xs="http://www.w3.org/2001/XMLSchema" xmlns:p="http://schemas.microsoft.com/office/2006/metadata/properties" xmlns:ns2="4a6e2952-714a-4bfb-a19e-64085382c257" targetNamespace="http://schemas.microsoft.com/office/2006/metadata/properties" ma:root="true" ma:fieldsID="b1ccb92faef49e6b6b30556bf8d89d65" ns2:_="">
    <xsd:import namespace="4a6e2952-714a-4bfb-a19e-64085382c2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e2952-714a-4bfb-a19e-64085382c257"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C1095B-BE3C-4373-A98D-CA98481D27E5}">
  <ds:schemaRefs>
    <ds:schemaRef ds:uri="http://schemas.microsoft.com/office/2006/metadata/properties"/>
    <ds:schemaRef ds:uri="http://schemas.microsoft.com/office/infopath/2007/PartnerControls"/>
    <ds:schemaRef ds:uri="http://schemas.microsoft.com/sharepoint/v3/fields"/>
    <ds:schemaRef ds:uri="72511ec2-2259-4a46-89b7-70f8eca11e98"/>
    <ds:schemaRef ds:uri="41c8e4fe-22e9-447a-a5f3-1fff9c8f5d15"/>
  </ds:schemaRefs>
</ds:datastoreItem>
</file>

<file path=customXml/itemProps2.xml><?xml version="1.0" encoding="utf-8"?>
<ds:datastoreItem xmlns:ds="http://schemas.openxmlformats.org/officeDocument/2006/customXml" ds:itemID="{53AC1AFD-BFAE-4228-8D52-42A8E8B4C84D}">
  <ds:schemaRefs>
    <ds:schemaRef ds:uri="http://schemas.microsoft.com/sharepoint/v3/contenttype/forms"/>
  </ds:schemaRefs>
</ds:datastoreItem>
</file>

<file path=customXml/itemProps3.xml><?xml version="1.0" encoding="utf-8"?>
<ds:datastoreItem xmlns:ds="http://schemas.openxmlformats.org/officeDocument/2006/customXml" ds:itemID="{15E8B955-F7EF-4040-B4A8-5C78A390DC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8</vt:i4>
      </vt:variant>
    </vt:vector>
  </HeadingPairs>
  <TitlesOfParts>
    <vt:vector size="18" baseType="lpstr">
      <vt:lpstr>Werkwijze</vt:lpstr>
      <vt:lpstr>Gespreksblad</vt:lpstr>
      <vt:lpstr>Woco - Project</vt:lpstr>
      <vt:lpstr>Woco - Reeks onderhoud</vt:lpstr>
      <vt:lpstr>Ontwikkelaar - VEX</vt:lpstr>
      <vt:lpstr>Ontwikkelaar - GREX</vt:lpstr>
      <vt:lpstr>Hulpblad - Berekeningen</vt:lpstr>
      <vt:lpstr>Hulpblad - Uitgangspunten</vt:lpstr>
      <vt:lpstr>Hulpblad - Gegevensvalidatie</vt:lpstr>
      <vt:lpstr>Hulpblad - Stijl</vt:lpstr>
      <vt:lpstr>Gespreksblad!Afdrukbereik</vt:lpstr>
      <vt:lpstr>'Hulpblad - Berekeningen'!Afdrukbereik</vt:lpstr>
      <vt:lpstr>'Hulpblad - Uitgangspunten'!Afdrukbereik</vt:lpstr>
      <vt:lpstr>'Ontwikkelaar - VEX'!Afdrukbereik</vt:lpstr>
      <vt:lpstr>Werkwijze!Afdrukbereik</vt:lpstr>
      <vt:lpstr>'Woco - Project'!Afdrukbereik</vt:lpstr>
      <vt:lpstr>'Woco - Reeks onderhoud'!Afdrukbereik</vt:lpstr>
      <vt:lpstr>DV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Yves Baljet</dc:creator>
  <cp:keywords/>
  <dc:description/>
  <cp:lastModifiedBy>Mathijs van Schaik</cp:lastModifiedBy>
  <cp:revision/>
  <cp:lastPrinted>2025-02-03T12:11:28Z</cp:lastPrinted>
  <dcterms:created xsi:type="dcterms:W3CDTF">2024-10-14T08:07:33Z</dcterms:created>
  <dcterms:modified xsi:type="dcterms:W3CDTF">2025-05-27T12:32:12Z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0x01010094491425DF78F44192A970FAD5E8920B</vt:lpwstr>
  </property>
</Properties>
</file>